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U:\New World\"/>
    </mc:Choice>
  </mc:AlternateContent>
  <xr:revisionPtr revIDLastSave="0" documentId="8_{6CA5D3A8-7186-4DA8-B5A8-FCDC8B87127C}" xr6:coauthVersionLast="47" xr6:coauthVersionMax="47" xr10:uidLastSave="{00000000-0000-0000-0000-000000000000}"/>
  <bookViews>
    <workbookView xWindow="28680" yWindow="-120" windowWidth="29040" windowHeight="15840" xr2:uid="{7EB16C52-E6EC-4A23-BCB1-4B37E4900AC3}"/>
  </bookViews>
  <sheets>
    <sheet name="Summary" sheetId="7" r:id="rId1"/>
    <sheet name="Conversion Expense 35-65" sheetId="3" r:id="rId2"/>
    <sheet name="Year 2" sheetId="2" r:id="rId3"/>
    <sheet name="Application Support Yr 1 " sheetId="5" r:id="rId4"/>
    <sheet name="Application Support Yr 2" sheetId="6" r:id="rId5"/>
  </sheets>
  <definedNames>
    <definedName name="_xlnm.Print_Area" localSheetId="1">'Conversion Expense 35-65'!$A$1:$G$52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7" l="1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3" i="7"/>
  <c r="B7" i="5"/>
  <c r="D12" i="2"/>
  <c r="B7" i="2"/>
  <c r="C13" i="3"/>
  <c r="D18" i="3"/>
  <c r="B14" i="3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3" i="7"/>
  <c r="C29" i="7"/>
  <c r="D29" i="7"/>
  <c r="B29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3" i="7"/>
  <c r="B13" i="6"/>
  <c r="B7" i="6"/>
  <c r="G39" i="6"/>
  <c r="F39" i="6"/>
  <c r="F41" i="6" s="1"/>
  <c r="B18" i="6"/>
  <c r="C5" i="6"/>
  <c r="B5" i="6"/>
  <c r="C4" i="6"/>
  <c r="B4" i="6"/>
  <c r="B13" i="5"/>
  <c r="B18" i="5"/>
  <c r="F39" i="5"/>
  <c r="J7" i="5"/>
  <c r="B12" i="5"/>
  <c r="J6" i="5"/>
  <c r="C5" i="5"/>
  <c r="B5" i="5"/>
  <c r="C4" i="5"/>
  <c r="B4" i="5"/>
  <c r="F29" i="7" l="1"/>
  <c r="C12" i="6"/>
  <c r="B12" i="6"/>
  <c r="B8" i="6"/>
  <c r="B39" i="5"/>
  <c r="B42" i="5" s="1"/>
  <c r="B8" i="5"/>
  <c r="C12" i="5"/>
  <c r="G39" i="5"/>
  <c r="F41" i="5"/>
  <c r="B39" i="6" l="1"/>
  <c r="B42" i="6" s="1"/>
  <c r="C28" i="6"/>
  <c r="D28" i="6" s="1"/>
  <c r="C15" i="6"/>
  <c r="D15" i="6" s="1"/>
  <c r="C21" i="6"/>
  <c r="D21" i="6" s="1"/>
  <c r="C27" i="6"/>
  <c r="D27" i="6" s="1"/>
  <c r="C14" i="6"/>
  <c r="D14" i="6" s="1"/>
  <c r="C20" i="6"/>
  <c r="D20" i="6" s="1"/>
  <c r="C33" i="6"/>
  <c r="D33" i="6" s="1"/>
  <c r="C39" i="6"/>
  <c r="C26" i="6"/>
  <c r="D26" i="6" s="1"/>
  <c r="C13" i="6"/>
  <c r="D13" i="6" s="1"/>
  <c r="C19" i="6"/>
  <c r="D19" i="6" s="1"/>
  <c r="C32" i="6"/>
  <c r="D32" i="6" s="1"/>
  <c r="C25" i="6"/>
  <c r="D25" i="6" s="1"/>
  <c r="C38" i="6"/>
  <c r="D38" i="6" s="1"/>
  <c r="C18" i="6"/>
  <c r="D18" i="6" s="1"/>
  <c r="C31" i="6"/>
  <c r="D31" i="6" s="1"/>
  <c r="C24" i="6"/>
  <c r="D24" i="6" s="1"/>
  <c r="C17" i="6"/>
  <c r="D17" i="6" s="1"/>
  <c r="C23" i="6"/>
  <c r="D23" i="6" s="1"/>
  <c r="C29" i="6"/>
  <c r="D29" i="6" s="1"/>
  <c r="C16" i="6"/>
  <c r="D16" i="6" s="1"/>
  <c r="C22" i="6"/>
  <c r="D22" i="6" s="1"/>
  <c r="C34" i="6"/>
  <c r="D34" i="6" s="1"/>
  <c r="C37" i="6"/>
  <c r="D37" i="6" s="1"/>
  <c r="C30" i="6"/>
  <c r="D30" i="6" s="1"/>
  <c r="C36" i="6"/>
  <c r="D36" i="6" s="1"/>
  <c r="C35" i="6"/>
  <c r="D35" i="6" s="1"/>
  <c r="C21" i="5"/>
  <c r="D21" i="5" s="1"/>
  <c r="C16" i="5"/>
  <c r="D16" i="5" s="1"/>
  <c r="C15" i="5"/>
  <c r="D15" i="5" s="1"/>
  <c r="C34" i="5"/>
  <c r="D34" i="5" s="1"/>
  <c r="C29" i="5"/>
  <c r="D29" i="5" s="1"/>
  <c r="C33" i="5"/>
  <c r="D33" i="5" s="1"/>
  <c r="C28" i="5"/>
  <c r="D28" i="5" s="1"/>
  <c r="C18" i="5"/>
  <c r="D18" i="5" s="1"/>
  <c r="C37" i="5"/>
  <c r="D37" i="5" s="1"/>
  <c r="C27" i="5"/>
  <c r="D27" i="5" s="1"/>
  <c r="C22" i="5"/>
  <c r="D22" i="5" s="1"/>
  <c r="C31" i="5"/>
  <c r="D31" i="5" s="1"/>
  <c r="C26" i="5"/>
  <c r="D26" i="5" s="1"/>
  <c r="C35" i="5"/>
  <c r="D35" i="5" s="1"/>
  <c r="C30" i="5"/>
  <c r="D30" i="5" s="1"/>
  <c r="C25" i="5"/>
  <c r="D25" i="5" s="1"/>
  <c r="C20" i="5"/>
  <c r="D20" i="5" s="1"/>
  <c r="C39" i="5"/>
  <c r="C24" i="5"/>
  <c r="D24" i="5" s="1"/>
  <c r="C19" i="5"/>
  <c r="D19" i="5" s="1"/>
  <c r="C14" i="5"/>
  <c r="D14" i="5" s="1"/>
  <c r="C38" i="5"/>
  <c r="D38" i="5" s="1"/>
  <c r="C23" i="5"/>
  <c r="D23" i="5" s="1"/>
  <c r="C13" i="5"/>
  <c r="D13" i="5" s="1"/>
  <c r="C32" i="5"/>
  <c r="D32" i="5" s="1"/>
  <c r="C17" i="5"/>
  <c r="D17" i="5" s="1"/>
  <c r="C36" i="5"/>
  <c r="D36" i="5" s="1"/>
  <c r="D39" i="6" l="1"/>
  <c r="E13" i="6" s="1"/>
  <c r="E19" i="6"/>
  <c r="E33" i="6"/>
  <c r="E14" i="6"/>
  <c r="E21" i="6"/>
  <c r="E16" i="6"/>
  <c r="E28" i="6"/>
  <c r="E17" i="6"/>
  <c r="E18" i="6"/>
  <c r="E32" i="6"/>
  <c r="E26" i="6"/>
  <c r="E35" i="6"/>
  <c r="E20" i="6"/>
  <c r="E37" i="6"/>
  <c r="E34" i="6"/>
  <c r="E29" i="6"/>
  <c r="E25" i="6"/>
  <c r="E36" i="6"/>
  <c r="E27" i="6"/>
  <c r="E22" i="6"/>
  <c r="E23" i="6"/>
  <c r="D39" i="5"/>
  <c r="E30" i="5" s="1"/>
  <c r="E38" i="6" l="1"/>
  <c r="E31" i="6"/>
  <c r="E30" i="6"/>
  <c r="E15" i="6"/>
  <c r="E24" i="6"/>
  <c r="E39" i="6" s="1"/>
  <c r="E13" i="5"/>
  <c r="E29" i="5"/>
  <c r="E32" i="5"/>
  <c r="E17" i="5"/>
  <c r="E36" i="5"/>
  <c r="E37" i="5"/>
  <c r="E22" i="5"/>
  <c r="E26" i="5"/>
  <c r="E14" i="5"/>
  <c r="E25" i="5"/>
  <c r="E20" i="5"/>
  <c r="E15" i="5"/>
  <c r="E24" i="5"/>
  <c r="E33" i="5"/>
  <c r="E28" i="5"/>
  <c r="E18" i="5"/>
  <c r="E27" i="5"/>
  <c r="E31" i="5"/>
  <c r="E21" i="5"/>
  <c r="E35" i="5"/>
  <c r="E16" i="5"/>
  <c r="E38" i="5"/>
  <c r="E23" i="5"/>
  <c r="E19" i="5"/>
  <c r="E34" i="5"/>
  <c r="E39" i="5" l="1"/>
  <c r="B23" i="3" l="1"/>
  <c r="B6" i="3"/>
  <c r="R28" i="3"/>
  <c r="R29" i="3" s="1"/>
  <c r="B10" i="3"/>
  <c r="B12" i="3"/>
  <c r="B11" i="3"/>
  <c r="B7" i="3"/>
  <c r="B5" i="3"/>
  <c r="B17" i="2"/>
  <c r="B5" i="2"/>
  <c r="B4" i="2"/>
  <c r="B3" i="2"/>
  <c r="G38" i="2"/>
  <c r="G40" i="2" s="1"/>
  <c r="H35" i="2"/>
  <c r="H33" i="2"/>
  <c r="H31" i="2"/>
  <c r="H30" i="2"/>
  <c r="H28" i="2"/>
  <c r="H26" i="2"/>
  <c r="B9" i="3" l="1"/>
  <c r="B13" i="3" s="1"/>
  <c r="H13" i="2"/>
  <c r="H15" i="2"/>
  <c r="H16" i="2"/>
  <c r="H18" i="2"/>
  <c r="H20" i="2"/>
  <c r="H21" i="2"/>
  <c r="H23" i="2"/>
  <c r="H25" i="2"/>
  <c r="H36" i="2"/>
  <c r="H12" i="2"/>
  <c r="H17" i="2"/>
  <c r="H22" i="2"/>
  <c r="H27" i="2"/>
  <c r="H32" i="2"/>
  <c r="H37" i="2"/>
  <c r="H14" i="2"/>
  <c r="H19" i="2"/>
  <c r="H24" i="2"/>
  <c r="H29" i="2"/>
  <c r="H34" i="2"/>
  <c r="G44" i="3"/>
  <c r="G46" i="3" s="1"/>
  <c r="B17" i="3" l="1"/>
  <c r="C17" i="3"/>
  <c r="H22" i="3"/>
  <c r="H23" i="3"/>
  <c r="H19" i="3"/>
  <c r="H21" i="3"/>
  <c r="H25" i="3"/>
  <c r="H20" i="3"/>
  <c r="H34" i="3"/>
  <c r="H37" i="3"/>
  <c r="H38" i="2"/>
  <c r="H41" i="3"/>
  <c r="H38" i="3"/>
  <c r="H18" i="3"/>
  <c r="H35" i="3"/>
  <c r="H36" i="3"/>
  <c r="H39" i="3"/>
  <c r="H26" i="3"/>
  <c r="H27" i="3"/>
  <c r="H31" i="3"/>
  <c r="H32" i="3"/>
  <c r="H28" i="3"/>
  <c r="H29" i="3"/>
  <c r="H30" i="3"/>
  <c r="H33" i="3"/>
  <c r="H24" i="3"/>
  <c r="H40" i="3"/>
  <c r="H42" i="3"/>
  <c r="H43" i="3"/>
  <c r="C11" i="2" l="1"/>
  <c r="B11" i="2"/>
  <c r="B12" i="2" s="1"/>
  <c r="E6" i="3"/>
  <c r="H44" i="3"/>
  <c r="B18" i="3"/>
  <c r="B38" i="2" l="1"/>
  <c r="C15" i="2"/>
  <c r="E15" i="2" s="1"/>
  <c r="E6" i="7" s="1"/>
  <c r="C34" i="2"/>
  <c r="E34" i="2" s="1"/>
  <c r="E25" i="7" s="1"/>
  <c r="C29" i="2"/>
  <c r="E29" i="2" s="1"/>
  <c r="E20" i="7" s="1"/>
  <c r="C24" i="2"/>
  <c r="E24" i="2" s="1"/>
  <c r="E15" i="7" s="1"/>
  <c r="C19" i="2"/>
  <c r="E19" i="2" s="1"/>
  <c r="E10" i="7" s="1"/>
  <c r="C14" i="2"/>
  <c r="E14" i="2" s="1"/>
  <c r="E5" i="7" s="1"/>
  <c r="C33" i="2"/>
  <c r="E33" i="2" s="1"/>
  <c r="E24" i="7" s="1"/>
  <c r="C28" i="2"/>
  <c r="E28" i="2" s="1"/>
  <c r="E19" i="7" s="1"/>
  <c r="C23" i="2"/>
  <c r="E23" i="2" s="1"/>
  <c r="E14" i="7" s="1"/>
  <c r="C35" i="2"/>
  <c r="E35" i="2" s="1"/>
  <c r="E26" i="7" s="1"/>
  <c r="C18" i="2"/>
  <c r="E18" i="2" s="1"/>
  <c r="E9" i="7" s="1"/>
  <c r="C13" i="2"/>
  <c r="E13" i="2" s="1"/>
  <c r="E4" i="7" s="1"/>
  <c r="C37" i="2"/>
  <c r="E37" i="2" s="1"/>
  <c r="E28" i="7" s="1"/>
  <c r="C27" i="2"/>
  <c r="E27" i="2" s="1"/>
  <c r="E18" i="7" s="1"/>
  <c r="C17" i="2"/>
  <c r="E17" i="2" s="1"/>
  <c r="E8" i="7" s="1"/>
  <c r="C36" i="2"/>
  <c r="E36" i="2" s="1"/>
  <c r="E27" i="7" s="1"/>
  <c r="C26" i="2"/>
  <c r="E26" i="2" s="1"/>
  <c r="E17" i="7" s="1"/>
  <c r="C16" i="2"/>
  <c r="E16" i="2" s="1"/>
  <c r="E7" i="7" s="1"/>
  <c r="C25" i="2"/>
  <c r="E25" i="2" s="1"/>
  <c r="E16" i="7" s="1"/>
  <c r="C32" i="2"/>
  <c r="E32" i="2" s="1"/>
  <c r="E23" i="7" s="1"/>
  <c r="C22" i="2"/>
  <c r="E22" i="2" s="1"/>
  <c r="E13" i="7" s="1"/>
  <c r="C12" i="2"/>
  <c r="C31" i="2"/>
  <c r="E31" i="2" s="1"/>
  <c r="E22" i="7" s="1"/>
  <c r="C21" i="2"/>
  <c r="E21" i="2" s="1"/>
  <c r="E12" i="7" s="1"/>
  <c r="C30" i="2"/>
  <c r="E30" i="2" s="1"/>
  <c r="E21" i="7" s="1"/>
  <c r="C20" i="2"/>
  <c r="E20" i="2" s="1"/>
  <c r="E11" i="7" s="1"/>
  <c r="C38" i="2" l="1"/>
  <c r="E12" i="2"/>
  <c r="E3" i="7" s="1"/>
  <c r="E29" i="7" s="1"/>
  <c r="B44" i="3"/>
  <c r="B46" i="3" s="1"/>
  <c r="C19" i="3"/>
  <c r="E19" i="3" s="1"/>
  <c r="C39" i="3"/>
  <c r="E39" i="3" s="1"/>
  <c r="C33" i="3"/>
  <c r="E33" i="3" s="1"/>
  <c r="C38" i="3"/>
  <c r="E38" i="3" s="1"/>
  <c r="C20" i="3"/>
  <c r="E20" i="3" s="1"/>
  <c r="C40" i="3"/>
  <c r="E40" i="3" s="1"/>
  <c r="C42" i="3"/>
  <c r="E42" i="3" s="1"/>
  <c r="C24" i="3"/>
  <c r="E24" i="3" s="1"/>
  <c r="C25" i="3"/>
  <c r="E25" i="3" s="1"/>
  <c r="C26" i="3"/>
  <c r="E26" i="3" s="1"/>
  <c r="C32" i="3"/>
  <c r="E32" i="3" s="1"/>
  <c r="C34" i="3"/>
  <c r="E34" i="3" s="1"/>
  <c r="C37" i="3"/>
  <c r="E37" i="3" s="1"/>
  <c r="C21" i="3"/>
  <c r="E21" i="3" s="1"/>
  <c r="C41" i="3"/>
  <c r="E41" i="3" s="1"/>
  <c r="C22" i="3"/>
  <c r="E22" i="3" s="1"/>
  <c r="C23" i="3"/>
  <c r="E23" i="3" s="1"/>
  <c r="C43" i="3"/>
  <c r="E43" i="3" s="1"/>
  <c r="C18" i="3"/>
  <c r="E18" i="3" s="1"/>
  <c r="C27" i="3"/>
  <c r="E27" i="3" s="1"/>
  <c r="C28" i="3"/>
  <c r="E28" i="3" s="1"/>
  <c r="C29" i="3"/>
  <c r="E29" i="3" s="1"/>
  <c r="C30" i="3"/>
  <c r="E30" i="3" s="1"/>
  <c r="C31" i="3"/>
  <c r="E31" i="3" s="1"/>
  <c r="C35" i="3"/>
  <c r="E35" i="3" s="1"/>
  <c r="C36" i="3"/>
  <c r="E36" i="3" s="1"/>
  <c r="E38" i="2" l="1"/>
  <c r="F12" i="2" s="1"/>
  <c r="C44" i="3"/>
  <c r="E44" i="3"/>
  <c r="F18" i="3" s="1"/>
  <c r="F35" i="2" l="1"/>
  <c r="F24" i="2"/>
  <c r="F16" i="2"/>
  <c r="F33" i="2"/>
  <c r="F34" i="2"/>
  <c r="F36" i="2"/>
  <c r="F22" i="2"/>
  <c r="F37" i="2"/>
  <c r="F15" i="2"/>
  <c r="F29" i="2"/>
  <c r="F32" i="2"/>
  <c r="F26" i="2"/>
  <c r="F18" i="2"/>
  <c r="F14" i="2"/>
  <c r="F20" i="2"/>
  <c r="F31" i="2"/>
  <c r="F25" i="2"/>
  <c r="F27" i="2"/>
  <c r="F21" i="2"/>
  <c r="F17" i="2"/>
  <c r="F23" i="2"/>
  <c r="F30" i="2"/>
  <c r="F28" i="2"/>
  <c r="F19" i="2"/>
  <c r="F13" i="2"/>
  <c r="F26" i="3"/>
  <c r="F28" i="3"/>
  <c r="F43" i="3"/>
  <c r="F41" i="3"/>
  <c r="F34" i="3"/>
  <c r="F23" i="3"/>
  <c r="F19" i="3"/>
  <c r="F27" i="3"/>
  <c r="F35" i="3"/>
  <c r="F24" i="3"/>
  <c r="F31" i="3"/>
  <c r="F38" i="3"/>
  <c r="F20" i="3"/>
  <c r="F33" i="3"/>
  <c r="F39" i="3"/>
  <c r="F30" i="3"/>
  <c r="F36" i="3"/>
  <c r="F29" i="3"/>
  <c r="F32" i="3"/>
  <c r="F25" i="3"/>
  <c r="F21" i="3"/>
  <c r="F42" i="3"/>
  <c r="F37" i="3"/>
  <c r="F22" i="3"/>
  <c r="F40" i="3"/>
  <c r="F38" i="2" l="1"/>
  <c r="F44" i="3"/>
</calcChain>
</file>

<file path=xl/sharedStrings.xml><?xml version="1.0" encoding="utf-8"?>
<sst xmlns="http://schemas.openxmlformats.org/spreadsheetml/2006/main" count="205" uniqueCount="68">
  <si>
    <t>Enterprise Public Safety</t>
  </si>
  <si>
    <t>Item or Service</t>
  </si>
  <si>
    <t>CP Police</t>
  </si>
  <si>
    <t>WW Fire/EMS</t>
  </si>
  <si>
    <t>CP Fire</t>
  </si>
  <si>
    <t>M-F Electric Dept</t>
  </si>
  <si>
    <t>M-F PD</t>
  </si>
  <si>
    <t>USVA Police Dept</t>
  </si>
  <si>
    <t>WWCO Sheriff</t>
  </si>
  <si>
    <t>WWCO Coroner</t>
  </si>
  <si>
    <t>WWCO Corrections</t>
  </si>
  <si>
    <t>WWCO Fire District 4</t>
  </si>
  <si>
    <t>WW Police Dept</t>
  </si>
  <si>
    <t>WW EMS 911</t>
  </si>
  <si>
    <t>50% Split All</t>
  </si>
  <si>
    <t>WW Public Works</t>
  </si>
  <si>
    <t xml:space="preserve">Total </t>
  </si>
  <si>
    <t>WWCO Public Works</t>
  </si>
  <si>
    <t>CP Pubic Works</t>
  </si>
  <si>
    <t>M-F PW</t>
  </si>
  <si>
    <t>Use Split</t>
  </si>
  <si>
    <t>Jurisdiction</t>
  </si>
  <si>
    <t>M-F Fire Dept</t>
  </si>
  <si>
    <t>CC Sherrif</t>
  </si>
  <si>
    <t>CC Fire District 1</t>
  </si>
  <si>
    <t>Columbia County FD3 AMB 3</t>
  </si>
  <si>
    <t>M-F Ambulance</t>
  </si>
  <si>
    <t>M-F Rural Fire</t>
  </si>
  <si>
    <t>CC Dept of Emergency Mgmt/ CC Public Safety Communications</t>
  </si>
  <si>
    <t>Subtotal One Time</t>
  </si>
  <si>
    <t>Less Shield Force - COWW</t>
  </si>
  <si>
    <t xml:space="preserve">Subtotal Annual SAAS Fees </t>
  </si>
  <si>
    <t>Less Analytics - COWW</t>
  </si>
  <si>
    <t>Grand Total First Year - Distribution</t>
  </si>
  <si>
    <t>COWW Charges</t>
  </si>
  <si>
    <t>.</t>
  </si>
  <si>
    <t>Percentage of Total Bill</t>
  </si>
  <si>
    <t>Avg Number of Calls</t>
  </si>
  <si>
    <t>Use %</t>
  </si>
  <si>
    <t>WWCO Fire District 6</t>
  </si>
  <si>
    <t>WWCO Fire District 8</t>
  </si>
  <si>
    <t>WWCO Fire District 1,3,7</t>
  </si>
  <si>
    <t>Agency</t>
  </si>
  <si>
    <t>35% Fire Districts</t>
  </si>
  <si>
    <t>65% Remaining</t>
  </si>
  <si>
    <t>Tyler Credit</t>
  </si>
  <si>
    <t>2026 SAAS Fees</t>
  </si>
  <si>
    <t>Annual SaaS Fees</t>
  </si>
  <si>
    <t xml:space="preserve">Tyler Conversion and SAAS Expenses 2025 </t>
  </si>
  <si>
    <t>All expenses include sales tax</t>
  </si>
  <si>
    <t>2025 Saas Fees</t>
  </si>
  <si>
    <t>Less Tyler Credit</t>
  </si>
  <si>
    <t>Analytics Training - COWW</t>
  </si>
  <si>
    <t>Upgrad Expense and Training</t>
  </si>
  <si>
    <t>Enterprise Migration and Hardware</t>
  </si>
  <si>
    <t xml:space="preserve">Base Wages </t>
  </si>
  <si>
    <t>Benefits</t>
  </si>
  <si>
    <t>Grand Total Second Year - Distribution</t>
  </si>
  <si>
    <t>Year 1 Conversion</t>
  </si>
  <si>
    <t>Year 1 Application Support</t>
  </si>
  <si>
    <t>Year 2 Saas Fees</t>
  </si>
  <si>
    <t>Year 2 Application Support</t>
  </si>
  <si>
    <t>Total Year 1</t>
  </si>
  <si>
    <t>Total Expenses</t>
  </si>
  <si>
    <t>Application Support Administrator 2026</t>
  </si>
  <si>
    <t>Application Support Administrator 2025</t>
  </si>
  <si>
    <t>Amount to be split 35/65</t>
  </si>
  <si>
    <t>Total Year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</si>
</sst>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"/>
      <family val="2"/>
    </font>
    <font>
      <sz val="16"/>
      <color theme="1"/>
      <name val="Aptos"/>
      <family val="2"/>
    </font>
    <font>
      <sz val="12"/>
      <color theme="1"/>
      <name val="Aptos"/>
      <family val="2"/>
    </font>
    <font>
      <b/>
      <sz val="16"/>
      <color theme="1"/>
      <name val="Aptos"/>
      <family val="2"/>
    </font>
    <font>
      <sz val="12"/>
      <color rgb="FFC00000"/>
      <name val="Aptos"/>
      <family val="2"/>
    </font>
    <font>
      <b/>
      <sz val="11"/>
      <color theme="3" tint="9.9978637043366805E-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 applyAlignment="1">
      <alignment horizontal="left" wrapText="1"/>
    </xf>
    <xf numFmtId="6" fontId="4" fillId="0" borderId="9" xfId="0" applyNumberFormat="1" applyFont="1" applyBorder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164" fontId="4" fillId="0" borderId="3" xfId="0" applyNumberFormat="1" applyFont="1" applyBorder="1"/>
    <xf numFmtId="0" fontId="4" fillId="0" borderId="10" xfId="0" applyFont="1" applyBorder="1" applyAlignment="1">
      <alignment wrapText="1"/>
    </xf>
    <xf numFmtId="164" fontId="4" fillId="0" borderId="0" xfId="0" applyNumberFormat="1" applyFont="1"/>
    <xf numFmtId="0" fontId="4" fillId="0" borderId="4" xfId="0" applyFont="1" applyBorder="1" applyAlignment="1">
      <alignment wrapText="1"/>
    </xf>
    <xf numFmtId="165" fontId="4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4" fontId="2" fillId="0" borderId="0" xfId="0" applyNumberFormat="1" applyFont="1"/>
    <xf numFmtId="0" fontId="2" fillId="0" borderId="0" xfId="0" applyFont="1" applyAlignment="1">
      <alignment horizontal="center" vertical="center"/>
    </xf>
    <xf numFmtId="44" fontId="4" fillId="0" borderId="0" xfId="0" applyNumberFormat="1" applyFont="1"/>
    <xf numFmtId="10" fontId="4" fillId="0" borderId="0" xfId="0" applyNumberFormat="1" applyFont="1"/>
    <xf numFmtId="166" fontId="4" fillId="0" borderId="0" xfId="3" applyNumberFormat="1" applyFont="1"/>
    <xf numFmtId="10" fontId="4" fillId="0" borderId="0" xfId="2" applyNumberFormat="1" applyFont="1"/>
    <xf numFmtId="44" fontId="4" fillId="0" borderId="0" xfId="1" applyFont="1"/>
    <xf numFmtId="44" fontId="4" fillId="0" borderId="0" xfId="1" applyFont="1" applyBorder="1"/>
    <xf numFmtId="0" fontId="4" fillId="0" borderId="8" xfId="0" applyFont="1" applyBorder="1" applyAlignment="1">
      <alignment wrapText="1"/>
    </xf>
    <xf numFmtId="44" fontId="4" fillId="0" borderId="8" xfId="1" applyFont="1" applyBorder="1"/>
    <xf numFmtId="44" fontId="4" fillId="0" borderId="8" xfId="0" applyNumberFormat="1" applyFont="1" applyBorder="1"/>
    <xf numFmtId="10" fontId="4" fillId="0" borderId="8" xfId="0" applyNumberFormat="1" applyFont="1" applyBorder="1"/>
    <xf numFmtId="166" fontId="4" fillId="0" borderId="8" xfId="3" applyNumberFormat="1" applyFont="1" applyBorder="1"/>
    <xf numFmtId="166" fontId="4" fillId="0" borderId="0" xfId="0" applyNumberFormat="1" applyFont="1"/>
    <xf numFmtId="9" fontId="4" fillId="0" borderId="0" xfId="2" applyFont="1"/>
    <xf numFmtId="0" fontId="2" fillId="3" borderId="6" xfId="0" applyFont="1" applyFill="1" applyBorder="1" applyAlignment="1">
      <alignment wrapText="1"/>
    </xf>
    <xf numFmtId="164" fontId="2" fillId="3" borderId="7" xfId="0" applyNumberFormat="1" applyFont="1" applyFill="1" applyBorder="1"/>
    <xf numFmtId="44" fontId="2" fillId="0" borderId="0" xfId="1" applyFont="1" applyAlignment="1">
      <alignment horizontal="center" wrapText="1"/>
    </xf>
    <xf numFmtId="0" fontId="2" fillId="3" borderId="0" xfId="0" applyFont="1" applyFill="1" applyAlignment="1">
      <alignment wrapText="1"/>
    </xf>
    <xf numFmtId="164" fontId="2" fillId="3" borderId="0" xfId="0" applyNumberFormat="1" applyFont="1" applyFill="1"/>
    <xf numFmtId="0" fontId="2" fillId="3" borderId="4" xfId="0" applyFont="1" applyFill="1" applyBorder="1" applyAlignment="1">
      <alignment wrapText="1"/>
    </xf>
    <xf numFmtId="164" fontId="2" fillId="3" borderId="5" xfId="0" applyNumberFormat="1" applyFont="1" applyFill="1" applyBorder="1"/>
    <xf numFmtId="164" fontId="6" fillId="0" borderId="11" xfId="0" applyNumberFormat="1" applyFont="1" applyBorder="1"/>
    <xf numFmtId="164" fontId="6" fillId="0" borderId="5" xfId="0" applyNumberFormat="1" applyFont="1" applyBorder="1"/>
    <xf numFmtId="167" fontId="4" fillId="0" borderId="9" xfId="0" applyNumberFormat="1" applyFont="1" applyBorder="1"/>
    <xf numFmtId="167" fontId="0" fillId="0" borderId="0" xfId="0" applyNumberFormat="1"/>
    <xf numFmtId="167" fontId="0" fillId="0" borderId="8" xfId="0" applyNumberFormat="1" applyBorder="1"/>
    <xf numFmtId="0" fontId="7" fillId="0" borderId="0" xfId="0" applyFont="1"/>
    <xf numFmtId="0" fontId="7" fillId="0" borderId="0" xfId="0" applyFont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AC8EC-F8D9-4B97-9095-D5EE955863C0}">
  <dimension ref="A2:G29"/>
  <sheetViews>
    <sheetView tabSelected="1" workbookViewId="0">
      <selection activeCell="G3" sqref="G3"/>
    </sheetView>
  </sheetViews>
  <sheetFormatPr defaultRowHeight="15" x14ac:dyDescent="0.25"/>
  <cols>
    <col min="1" max="1" width="68.5703125" customWidth="1"/>
    <col min="2" max="2" width="14.42578125" customWidth="1"/>
    <col min="3" max="3" width="13" customWidth="1"/>
    <col min="4" max="5" width="12.5703125" bestFit="1" customWidth="1"/>
    <col min="6" max="6" width="16.7109375" customWidth="1"/>
    <col min="7" max="7" width="11.28515625" customWidth="1"/>
  </cols>
  <sheetData>
    <row r="2" spans="1:7" ht="45" x14ac:dyDescent="0.25">
      <c r="A2" s="43" t="s">
        <v>21</v>
      </c>
      <c r="B2" s="44" t="s">
        <v>58</v>
      </c>
      <c r="C2" s="44" t="s">
        <v>59</v>
      </c>
      <c r="D2" s="44" t="s">
        <v>62</v>
      </c>
      <c r="E2" s="44" t="s">
        <v>60</v>
      </c>
      <c r="F2" s="44" t="s">
        <v>61</v>
      </c>
      <c r="G2" s="44" t="s">
        <v>67</v>
      </c>
    </row>
    <row r="3" spans="1:7" ht="15.75" x14ac:dyDescent="0.25">
      <c r="A3" s="6" t="s">
        <v>12</v>
      </c>
      <c r="B3" s="41">
        <f>'Conversion Expense 35-65'!E18</f>
        <v>186635.00723380371</v>
      </c>
      <c r="C3" s="41">
        <f>'Application Support Yr 1 '!D13</f>
        <v>13433.187565408252</v>
      </c>
      <c r="D3" s="41">
        <f>B3+C3</f>
        <v>200068.19479921195</v>
      </c>
      <c r="E3" s="41">
        <f>'Year 2'!E12</f>
        <v>129854.8569605072</v>
      </c>
      <c r="F3" s="41">
        <f>'Application Support Yr 2'!D13</f>
        <v>19760.397288466789</v>
      </c>
      <c r="G3" s="41">
        <f>F3+E3</f>
        <v>149615.25424897397</v>
      </c>
    </row>
    <row r="4" spans="1:7" ht="15.75" x14ac:dyDescent="0.25">
      <c r="A4" s="6" t="s">
        <v>3</v>
      </c>
      <c r="B4" s="41">
        <f>'Conversion Expense 35-65'!E19</f>
        <v>57210.6703452004</v>
      </c>
      <c r="C4" s="41">
        <f>'Application Support Yr 1 '!D14</f>
        <v>6144.7755674257533</v>
      </c>
      <c r="D4" s="41">
        <f t="shared" ref="D4:D28" si="0">B4+C4</f>
        <v>63355.44591262615</v>
      </c>
      <c r="E4" s="41">
        <f>'Year 2'!E13</f>
        <v>35904.425744680579</v>
      </c>
      <c r="F4" s="41">
        <f>'Application Support Yr 2'!D14</f>
        <v>9039.0464563655187</v>
      </c>
      <c r="G4" s="41">
        <f t="shared" ref="G4:G28" si="1">F4+E4</f>
        <v>44943.472201046097</v>
      </c>
    </row>
    <row r="5" spans="1:7" ht="15.75" x14ac:dyDescent="0.25">
      <c r="A5" s="6" t="s">
        <v>13</v>
      </c>
      <c r="B5" s="41">
        <f>'Conversion Expense 35-65'!E20</f>
        <v>35159.099865098651</v>
      </c>
      <c r="C5" s="41">
        <f>'Application Support Yr 1 '!D15</f>
        <v>4299.8829687546713</v>
      </c>
      <c r="D5" s="41">
        <f t="shared" si="0"/>
        <v>39458.982833853326</v>
      </c>
      <c r="E5" s="41">
        <f>'Year 2'!E14</f>
        <v>22065.242073538255</v>
      </c>
      <c r="F5" s="41">
        <f>'Application Support Yr 2'!D15</f>
        <v>6325.184945329248</v>
      </c>
      <c r="G5" s="41">
        <f t="shared" si="1"/>
        <v>28390.427018867504</v>
      </c>
    </row>
    <row r="6" spans="1:7" ht="15.75" x14ac:dyDescent="0.25">
      <c r="A6" s="6" t="s">
        <v>15</v>
      </c>
      <c r="B6" s="41">
        <f>'Conversion Expense 35-65'!E21</f>
        <v>1145.602253064626</v>
      </c>
      <c r="C6" s="41">
        <f>'Application Support Yr 1 '!D16</f>
        <v>95.844108681827151</v>
      </c>
      <c r="D6" s="41">
        <f t="shared" si="0"/>
        <v>1241.446361746453</v>
      </c>
      <c r="E6" s="41">
        <f>'Year 2'!E15</f>
        <v>718.96013068737523</v>
      </c>
      <c r="F6" s="41">
        <f>'Application Support Yr 2'!D16</f>
        <v>140.98795658812304</v>
      </c>
      <c r="G6" s="41">
        <f t="shared" si="1"/>
        <v>859.94808727549821</v>
      </c>
    </row>
    <row r="7" spans="1:7" ht="15.75" x14ac:dyDescent="0.25">
      <c r="A7" s="6" t="s">
        <v>2</v>
      </c>
      <c r="B7" s="41">
        <f>'Conversion Expense 35-65'!E22</f>
        <v>65031.315059454922</v>
      </c>
      <c r="C7" s="41">
        <f>'Application Support Yr 1 '!D17</f>
        <v>6799.0713493603598</v>
      </c>
      <c r="D7" s="41">
        <f t="shared" si="0"/>
        <v>71830.386408815277</v>
      </c>
      <c r="E7" s="41">
        <f>'Year 2'!E16</f>
        <v>40812.526903506398</v>
      </c>
      <c r="F7" s="41">
        <f>'Application Support Yr 2'!D17</f>
        <v>10001.524240007106</v>
      </c>
      <c r="G7" s="41">
        <f t="shared" si="1"/>
        <v>50814.051143513505</v>
      </c>
    </row>
    <row r="8" spans="1:7" ht="15.75" x14ac:dyDescent="0.25">
      <c r="A8" s="6" t="s">
        <v>4</v>
      </c>
      <c r="B8" s="41">
        <f>'Conversion Expense 35-65'!E23</f>
        <v>11639.502852130356</v>
      </c>
      <c r="C8" s="41">
        <f>'Application Support Yr 1 '!D18</f>
        <v>1109.6295208837125</v>
      </c>
      <c r="D8" s="41">
        <f t="shared" si="0"/>
        <v>12749.132373014068</v>
      </c>
      <c r="E8" s="41">
        <f>'Year 2'!E17</f>
        <v>7304.7503785169683</v>
      </c>
      <c r="F8" s="41">
        <f>'Application Support Yr 2'!D18</f>
        <v>1632.2797600278152</v>
      </c>
      <c r="G8" s="41">
        <f t="shared" si="1"/>
        <v>8937.0301385447838</v>
      </c>
    </row>
    <row r="9" spans="1:7" ht="15.75" x14ac:dyDescent="0.25">
      <c r="A9" s="6" t="s">
        <v>18</v>
      </c>
      <c r="B9" s="41">
        <f>'Conversion Expense 35-65'!E24</f>
        <v>181.59917196728142</v>
      </c>
      <c r="C9" s="41">
        <f>'Application Support Yr 1 '!D19</f>
        <v>15.193066116971117</v>
      </c>
      <c r="D9" s="41">
        <f t="shared" si="0"/>
        <v>196.79223808425255</v>
      </c>
      <c r="E9" s="41">
        <f>'Year 2'!E18</f>
        <v>113.96849479044319</v>
      </c>
      <c r="F9" s="41">
        <f>'Application Support Yr 2'!D19</f>
        <v>22.349202007302466</v>
      </c>
      <c r="G9" s="41">
        <f t="shared" si="1"/>
        <v>136.31769679774567</v>
      </c>
    </row>
    <row r="10" spans="1:7" ht="15.75" x14ac:dyDescent="0.25">
      <c r="A10" s="6" t="s">
        <v>28</v>
      </c>
      <c r="B10" s="41">
        <f>'Conversion Expense 35-65'!E25</f>
        <v>22501.467860126828</v>
      </c>
      <c r="C10" s="41">
        <f>'Application Support Yr 1 '!D20</f>
        <v>3240.9120612745728</v>
      </c>
      <c r="D10" s="41">
        <f t="shared" si="0"/>
        <v>25742.3799214014</v>
      </c>
      <c r="E10" s="41">
        <f>'Year 2'!E19</f>
        <v>14121.531474032412</v>
      </c>
      <c r="F10" s="41">
        <f>'Application Support Yr 2'!D20</f>
        <v>4767.4246783155859</v>
      </c>
      <c r="G10" s="41">
        <f t="shared" si="1"/>
        <v>18888.956152347997</v>
      </c>
    </row>
    <row r="11" spans="1:7" ht="15.75" x14ac:dyDescent="0.25">
      <c r="A11" s="6" t="s">
        <v>24</v>
      </c>
      <c r="B11" s="41">
        <f>'Conversion Expense 35-65'!E26</f>
        <v>2138.6415000477259</v>
      </c>
      <c r="C11" s="41">
        <f>'Application Support Yr 1 '!D21</f>
        <v>314.76237954909277</v>
      </c>
      <c r="D11" s="41">
        <f t="shared" si="0"/>
        <v>2453.4038795968186</v>
      </c>
      <c r="E11" s="41">
        <f>'Year 2'!E20</f>
        <v>1342.1743613496701</v>
      </c>
      <c r="F11" s="41">
        <f>'Application Support Yr 2'!D21</f>
        <v>463.0196400569813</v>
      </c>
      <c r="G11" s="41">
        <f t="shared" si="1"/>
        <v>1805.1940014066513</v>
      </c>
    </row>
    <row r="12" spans="1:7" ht="15.75" x14ac:dyDescent="0.25">
      <c r="A12" s="6" t="s">
        <v>23</v>
      </c>
      <c r="B12" s="41">
        <f>'Conversion Expense 35-65'!E27</f>
        <v>56681.147526006091</v>
      </c>
      <c r="C12" s="41">
        <f>'Application Support Yr 1 '!D22</f>
        <v>3451.6335632512041</v>
      </c>
      <c r="D12" s="41">
        <f t="shared" si="0"/>
        <v>60132.781089257296</v>
      </c>
      <c r="E12" s="41">
        <f>'Year 2'!E21</f>
        <v>35572.106395385083</v>
      </c>
      <c r="F12" s="41">
        <f>'Application Support Yr 2'!D22</f>
        <v>5077.3988059011508</v>
      </c>
      <c r="G12" s="41">
        <f t="shared" si="1"/>
        <v>40649.505201286236</v>
      </c>
    </row>
    <row r="13" spans="1:7" ht="15.75" x14ac:dyDescent="0.25">
      <c r="A13" s="6" t="s">
        <v>25</v>
      </c>
      <c r="B13" s="41">
        <f>'Conversion Expense 35-65'!E28</f>
        <v>6201.7108242502654</v>
      </c>
      <c r="C13" s="41">
        <f>'Application Support Yr 1 '!D23</f>
        <v>654.68948500730642</v>
      </c>
      <c r="D13" s="41">
        <f t="shared" si="0"/>
        <v>6856.4003092575722</v>
      </c>
      <c r="E13" s="41">
        <f>'Year 2'!E22</f>
        <v>3892.0862915208945</v>
      </c>
      <c r="F13" s="41">
        <f>'Application Support Yr 2'!D23</f>
        <v>963.0569260895245</v>
      </c>
      <c r="G13" s="41">
        <f t="shared" si="1"/>
        <v>4855.143217610419</v>
      </c>
    </row>
    <row r="14" spans="1:7" ht="15.75" x14ac:dyDescent="0.25">
      <c r="A14" s="6" t="s">
        <v>22</v>
      </c>
      <c r="B14" s="41">
        <f>'Conversion Expense 35-65'!E29</f>
        <v>2352.4872539531229</v>
      </c>
      <c r="C14" s="41">
        <f>'Application Support Yr 1 '!D24</f>
        <v>332.65327983636718</v>
      </c>
      <c r="D14" s="41">
        <f t="shared" si="0"/>
        <v>2685.1405337894903</v>
      </c>
      <c r="E14" s="41">
        <f>'Year 2'!E23</f>
        <v>1476.3802524113134</v>
      </c>
      <c r="F14" s="41">
        <f>'Application Support Yr 2'!D24</f>
        <v>489.33739195343094</v>
      </c>
      <c r="G14" s="41">
        <f t="shared" si="1"/>
        <v>1965.7176443647445</v>
      </c>
    </row>
    <row r="15" spans="1:7" ht="15.75" x14ac:dyDescent="0.25">
      <c r="A15" s="6" t="s">
        <v>26</v>
      </c>
      <c r="B15" s="41">
        <f>'Conversion Expense 35-65'!E30</f>
        <v>8584.5635106246882</v>
      </c>
      <c r="C15" s="41">
        <f>'Application Support Yr 1 '!D25</f>
        <v>3502.8859583382336</v>
      </c>
      <c r="D15" s="41">
        <f t="shared" si="0"/>
        <v>12087.449468962921</v>
      </c>
      <c r="E15" s="41">
        <f>'Year 2'!E24</f>
        <v>5387.5233633506341</v>
      </c>
      <c r="F15" s="41">
        <f>'Application Support Yr 2'!D25</f>
        <v>5152.7917596564557</v>
      </c>
      <c r="G15" s="41">
        <f t="shared" si="1"/>
        <v>10540.315123007091</v>
      </c>
    </row>
    <row r="16" spans="1:7" ht="15.75" x14ac:dyDescent="0.25">
      <c r="A16" s="6" t="s">
        <v>27</v>
      </c>
      <c r="B16" s="41">
        <f>'Conversion Expense 35-65'!E31</f>
        <v>2826.0028518865015</v>
      </c>
      <c r="C16" s="41">
        <f>'Application Support Yr 1 '!D26</f>
        <v>372.26884475818906</v>
      </c>
      <c r="D16" s="41">
        <f t="shared" si="0"/>
        <v>3198.2716966446906</v>
      </c>
      <c r="E16" s="41">
        <f>'Year 2'!E25</f>
        <v>1773.5504397620953</v>
      </c>
      <c r="F16" s="41">
        <f>'Application Support Yr 2'!D26</f>
        <v>547.61241400985512</v>
      </c>
      <c r="G16" s="41">
        <f t="shared" si="1"/>
        <v>2321.1628537719503</v>
      </c>
    </row>
    <row r="17" spans="1:7" ht="15.75" x14ac:dyDescent="0.25">
      <c r="A17" s="6" t="s">
        <v>5</v>
      </c>
      <c r="B17" s="41">
        <f>'Conversion Expense 35-65'!E32</f>
        <v>386.95898325738477</v>
      </c>
      <c r="C17" s="41">
        <f>'Application Support Yr 1 '!D27</f>
        <v>32.374010043639394</v>
      </c>
      <c r="D17" s="41">
        <f t="shared" si="0"/>
        <v>419.33299330102415</v>
      </c>
      <c r="E17" s="41">
        <f>'Year 2'!E26</f>
        <v>242.84875525440233</v>
      </c>
      <c r="F17" s="41">
        <f>'Application Support Yr 2'!D27</f>
        <v>47.622598669766013</v>
      </c>
      <c r="G17" s="41">
        <f t="shared" si="1"/>
        <v>290.47135392416834</v>
      </c>
    </row>
    <row r="18" spans="1:7" ht="15.75" x14ac:dyDescent="0.25">
      <c r="A18" s="6" t="s">
        <v>6</v>
      </c>
      <c r="B18" s="41">
        <f>'Conversion Expense 35-65'!E33</f>
        <v>46594.75613346821</v>
      </c>
      <c r="C18" s="41">
        <f>'Application Support Yr 1 '!D28</f>
        <v>5256.6201603074887</v>
      </c>
      <c r="D18" s="41">
        <f t="shared" si="0"/>
        <v>51851.376293775698</v>
      </c>
      <c r="E18" s="41">
        <f>'Year 2'!E27</f>
        <v>29242.061866977565</v>
      </c>
      <c r="F18" s="41">
        <f>'Application Support Yr 2'!D28</f>
        <v>7732.5580586489123</v>
      </c>
      <c r="G18" s="41">
        <f t="shared" si="1"/>
        <v>36974.619925626481</v>
      </c>
    </row>
    <row r="19" spans="1:7" ht="15.75" x14ac:dyDescent="0.25">
      <c r="A19" s="6" t="s">
        <v>19</v>
      </c>
      <c r="B19" s="41">
        <f>'Conversion Expense 35-65'!E34</f>
        <v>280.03610630468631</v>
      </c>
      <c r="C19" s="41">
        <f>'Application Support Yr 1 '!D29</f>
        <v>23.428559900002192</v>
      </c>
      <c r="D19" s="41">
        <f t="shared" si="0"/>
        <v>303.46466620468851</v>
      </c>
      <c r="E19" s="41">
        <f>'Year 2'!E28</f>
        <v>175.74580972358063</v>
      </c>
      <c r="F19" s="41">
        <f>'Application Support Yr 2'!D29</f>
        <v>34.463722721541195</v>
      </c>
      <c r="G19" s="41">
        <f t="shared" si="1"/>
        <v>210.20953244512182</v>
      </c>
    </row>
    <row r="20" spans="1:7" ht="15.75" x14ac:dyDescent="0.25">
      <c r="A20" s="6" t="s">
        <v>7</v>
      </c>
      <c r="B20" s="41">
        <f>'Conversion Expense 35-65'!E35</f>
        <v>19512.71887102045</v>
      </c>
      <c r="C20" s="41">
        <f>'Application Support Yr 1 '!D30</f>
        <v>2990.8654310690949</v>
      </c>
      <c r="D20" s="41">
        <f t="shared" si="0"/>
        <v>22503.584302089545</v>
      </c>
      <c r="E20" s="41">
        <f>'Year 2'!E29</f>
        <v>12245.844377528014</v>
      </c>
      <c r="F20" s="41">
        <f>'Application Support Yr 2'!D30</f>
        <v>4399.6027649056832</v>
      </c>
      <c r="G20" s="41">
        <f t="shared" si="1"/>
        <v>16645.447142433695</v>
      </c>
    </row>
    <row r="21" spans="1:7" ht="15.75" x14ac:dyDescent="0.25">
      <c r="A21" s="6" t="s">
        <v>8</v>
      </c>
      <c r="B21" s="41">
        <f>'Conversion Expense 35-65'!E36</f>
        <v>74649.282419628609</v>
      </c>
      <c r="C21" s="41">
        <f>'Application Support Yr 1 '!D31</f>
        <v>7603.7358884713449</v>
      </c>
      <c r="D21" s="41">
        <f t="shared" si="0"/>
        <v>82253.018308099956</v>
      </c>
      <c r="E21" s="41">
        <f>'Year 2'!E30</f>
        <v>46848.596622921737</v>
      </c>
      <c r="F21" s="41">
        <f>'Application Support Yr 2'!D31</f>
        <v>11185.196462206948</v>
      </c>
      <c r="G21" s="41">
        <f t="shared" si="1"/>
        <v>58033.793085128687</v>
      </c>
    </row>
    <row r="22" spans="1:7" ht="15.75" x14ac:dyDescent="0.25">
      <c r="A22" s="6" t="s">
        <v>9</v>
      </c>
      <c r="B22" s="41">
        <f>'Conversion Expense 35-65'!E37</f>
        <v>1008.1299826968707</v>
      </c>
      <c r="C22" s="41">
        <f>'Application Support Yr 1 '!D32</f>
        <v>84.342815640007885</v>
      </c>
      <c r="D22" s="41">
        <f t="shared" si="0"/>
        <v>1092.4727983368787</v>
      </c>
      <c r="E22" s="41">
        <f>'Year 2'!E31</f>
        <v>632.68491500489017</v>
      </c>
      <c r="F22" s="41">
        <f>'Application Support Yr 2'!D32</f>
        <v>124.06940179754828</v>
      </c>
      <c r="G22" s="41">
        <f t="shared" si="1"/>
        <v>756.75431680243844</v>
      </c>
    </row>
    <row r="23" spans="1:7" ht="15.75" x14ac:dyDescent="0.25">
      <c r="A23" s="6" t="s">
        <v>10</v>
      </c>
      <c r="B23" s="41">
        <f>'Conversion Expense 35-65'!E38</f>
        <v>21956.670344224985</v>
      </c>
      <c r="C23" s="41">
        <f>'Application Support Yr 1 '!D33</f>
        <v>3195.3328629236594</v>
      </c>
      <c r="D23" s="41">
        <f t="shared" si="0"/>
        <v>25152.003207148646</v>
      </c>
      <c r="E23" s="41">
        <f>'Year 2'!E32</f>
        <v>13779.625989661083</v>
      </c>
      <c r="F23" s="41">
        <f>'Application Support Yr 2'!D33</f>
        <v>4700.3770722936788</v>
      </c>
      <c r="G23" s="41">
        <f t="shared" si="1"/>
        <v>18480.003061954762</v>
      </c>
    </row>
    <row r="24" spans="1:7" ht="15.75" x14ac:dyDescent="0.25">
      <c r="A24" s="6" t="s">
        <v>11</v>
      </c>
      <c r="B24" s="41">
        <f>'Conversion Expense 35-65'!E39</f>
        <v>7097.826364425262</v>
      </c>
      <c r="C24" s="41">
        <f>'Application Support Yr 1 '!D34</f>
        <v>729.66087668731348</v>
      </c>
      <c r="D24" s="41">
        <f t="shared" si="0"/>
        <v>7827.4872411125752</v>
      </c>
      <c r="E24" s="41">
        <f>'Year 2'!E33</f>
        <v>4454.4728826363526</v>
      </c>
      <c r="F24" s="41">
        <f>'Application Support Yr 2'!D34</f>
        <v>1073.3408387984562</v>
      </c>
      <c r="G24" s="41">
        <f t="shared" si="1"/>
        <v>5527.8137214348089</v>
      </c>
    </row>
    <row r="25" spans="1:7" ht="15.75" x14ac:dyDescent="0.25">
      <c r="A25" s="6" t="s">
        <v>41</v>
      </c>
      <c r="B25" s="41">
        <f>'Conversion Expense 35-65'!E40</f>
        <v>2693.6221470879227</v>
      </c>
      <c r="C25" s="41">
        <f>'Application Support Yr 1 '!D35</f>
        <v>361.19352553273347</v>
      </c>
      <c r="D25" s="41">
        <f t="shared" si="0"/>
        <v>3054.8156726206562</v>
      </c>
      <c r="E25" s="41">
        <f>'Year 2'!E34</f>
        <v>1690.4706024382208</v>
      </c>
      <c r="F25" s="41">
        <f>'Application Support Yr 2'!D35</f>
        <v>531.32047235967207</v>
      </c>
      <c r="G25" s="41">
        <f t="shared" si="1"/>
        <v>2221.7910747978931</v>
      </c>
    </row>
    <row r="26" spans="1:7" ht="15.75" x14ac:dyDescent="0.25">
      <c r="A26" s="6" t="s">
        <v>39</v>
      </c>
      <c r="B26" s="41">
        <f>'Conversion Expense 35-65'!E41</f>
        <v>2576.5161389968721</v>
      </c>
      <c r="C26" s="41">
        <f>'Application Support Yr 1 '!D36</f>
        <v>351.39612775636891</v>
      </c>
      <c r="D26" s="41">
        <f t="shared" si="0"/>
        <v>2927.9122667532411</v>
      </c>
      <c r="E26" s="41">
        <f>'Year 2'!E35</f>
        <v>1616.976900190178</v>
      </c>
      <c r="F26" s="41">
        <f>'Application Support Yr 2'!D36</f>
        <v>516.90837013066391</v>
      </c>
      <c r="G26" s="41">
        <f t="shared" si="1"/>
        <v>2133.8852703208418</v>
      </c>
    </row>
    <row r="27" spans="1:7" ht="15.75" x14ac:dyDescent="0.25">
      <c r="A27" s="6" t="s">
        <v>40</v>
      </c>
      <c r="B27" s="41">
        <f>'Conversion Expense 35-65'!E42</f>
        <v>2215.0149835853676</v>
      </c>
      <c r="C27" s="41">
        <f>'Application Support Yr 1 '!D37</f>
        <v>321.15198679454789</v>
      </c>
      <c r="D27" s="41">
        <f t="shared" si="0"/>
        <v>2536.1669703799157</v>
      </c>
      <c r="E27" s="41">
        <f>'Year 2'!E36</f>
        <v>1390.1050367288283</v>
      </c>
      <c r="F27" s="41">
        <f>'Application Support Yr 2'!D37</f>
        <v>472.41883716285616</v>
      </c>
      <c r="G27" s="41">
        <f t="shared" si="1"/>
        <v>1862.5238738916844</v>
      </c>
    </row>
    <row r="28" spans="1:7" ht="16.5" thickBot="1" x14ac:dyDescent="0.3">
      <c r="A28" s="24" t="s">
        <v>17</v>
      </c>
      <c r="B28" s="42">
        <f>'Conversion Expense 35-65'!E43</f>
        <v>381.8674176882086</v>
      </c>
      <c r="C28" s="42">
        <f>'Application Support Yr 1 '!D38</f>
        <v>31.948036227275715</v>
      </c>
      <c r="D28" s="42">
        <f t="shared" si="0"/>
        <v>413.81545391548434</v>
      </c>
      <c r="E28" s="42">
        <f>'Year 2'!E37</f>
        <v>239.65337689579175</v>
      </c>
      <c r="F28" s="42">
        <f>'Application Support Yr 2'!D38</f>
        <v>46.995985529374352</v>
      </c>
      <c r="G28" s="42">
        <f t="shared" si="1"/>
        <v>286.64936242516609</v>
      </c>
    </row>
    <row r="29" spans="1:7" ht="15.75" x14ac:dyDescent="0.25">
      <c r="A29" s="13" t="s">
        <v>63</v>
      </c>
      <c r="B29" s="41">
        <f>SUM(B3:B28)</f>
        <v>637642.21799999999</v>
      </c>
      <c r="C29" s="41">
        <f t="shared" ref="C29:F29" si="2">SUM(C3:C28)</f>
        <v>64749.439999999995</v>
      </c>
      <c r="D29" s="41">
        <f t="shared" si="2"/>
        <v>702391.65799999994</v>
      </c>
      <c r="E29" s="41">
        <f t="shared" si="2"/>
        <v>412899.17039999989</v>
      </c>
      <c r="F29" s="41">
        <f t="shared" si="2"/>
        <v>95247.286049999966</v>
      </c>
      <c r="G29" s="41">
        <f>SUM(G3:G28)</f>
        <v>508146.45645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538B9-9A6A-4AFF-99E5-DD76297DA05E}">
  <sheetPr>
    <pageSetUpPr fitToPage="1"/>
  </sheetPr>
  <dimension ref="A1:R47"/>
  <sheetViews>
    <sheetView topLeftCell="A15" workbookViewId="0">
      <selection activeCell="B14" sqref="B14"/>
    </sheetView>
  </sheetViews>
  <sheetFormatPr defaultRowHeight="15.75" x14ac:dyDescent="0.25"/>
  <cols>
    <col min="1" max="1" width="58.140625" style="6" customWidth="1"/>
    <col min="2" max="2" width="15.85546875" style="3" bestFit="1" customWidth="1"/>
    <col min="3" max="3" width="17.5703125" style="3" bestFit="1" customWidth="1"/>
    <col min="4" max="4" width="17.28515625" style="3" bestFit="1" customWidth="1"/>
    <col min="5" max="5" width="15.85546875" style="3" bestFit="1" customWidth="1"/>
    <col min="6" max="6" width="16" style="3" bestFit="1" customWidth="1"/>
    <col min="7" max="7" width="11" style="3" bestFit="1" customWidth="1"/>
    <col min="8" max="8" width="12" style="3" customWidth="1"/>
    <col min="9" max="12" width="9.140625" style="3"/>
    <col min="13" max="16" width="9.42578125" style="3" bestFit="1" customWidth="1"/>
    <col min="17" max="16384" width="9.140625" style="3"/>
  </cols>
  <sheetData>
    <row r="1" spans="1:8" ht="21" x14ac:dyDescent="0.35">
      <c r="A1" s="45" t="s">
        <v>48</v>
      </c>
      <c r="B1" s="46"/>
      <c r="C1" s="46"/>
      <c r="D1" s="46"/>
      <c r="E1" s="46"/>
      <c r="F1" s="46"/>
      <c r="G1" s="46"/>
    </row>
    <row r="2" spans="1:8" ht="21" x14ac:dyDescent="0.35">
      <c r="A2" s="47" t="s">
        <v>0</v>
      </c>
      <c r="B2" s="48"/>
      <c r="C2" s="48"/>
      <c r="D2" s="48"/>
      <c r="E2" s="48"/>
      <c r="F2" s="48"/>
      <c r="G2" s="48"/>
    </row>
    <row r="3" spans="1:8" x14ac:dyDescent="0.25">
      <c r="A3" s="6" t="s">
        <v>49</v>
      </c>
    </row>
    <row r="5" spans="1:8" x14ac:dyDescent="0.25">
      <c r="A5" s="6" t="s">
        <v>50</v>
      </c>
      <c r="B5" s="10">
        <f>362862*1.089</f>
        <v>395156.71799999999</v>
      </c>
    </row>
    <row r="6" spans="1:8" x14ac:dyDescent="0.25">
      <c r="A6" s="6" t="s">
        <v>30</v>
      </c>
      <c r="B6" s="10">
        <f>-10350*1.089</f>
        <v>-11271.15</v>
      </c>
      <c r="E6" s="10" t="e">
        <f>#REF!+#REF!</f>
        <v>#REF!</v>
      </c>
    </row>
    <row r="7" spans="1:8" x14ac:dyDescent="0.25">
      <c r="A7" s="6" t="s">
        <v>32</v>
      </c>
      <c r="B7" s="10">
        <f>-24000*1.089</f>
        <v>-26136</v>
      </c>
      <c r="E7" s="10"/>
    </row>
    <row r="8" spans="1:8" x14ac:dyDescent="0.25">
      <c r="A8" s="6" t="s">
        <v>51</v>
      </c>
      <c r="B8" s="10">
        <v>-18330</v>
      </c>
      <c r="E8" s="10"/>
    </row>
    <row r="9" spans="1:8" x14ac:dyDescent="0.25">
      <c r="A9" s="6" t="s">
        <v>31</v>
      </c>
      <c r="B9" s="10">
        <f>SUM(B5:B8)</f>
        <v>339419.56799999997</v>
      </c>
    </row>
    <row r="10" spans="1:8" x14ac:dyDescent="0.25">
      <c r="A10" s="6" t="s">
        <v>54</v>
      </c>
      <c r="B10" s="10">
        <f>111000*1.089</f>
        <v>120879</v>
      </c>
    </row>
    <row r="11" spans="1:8" x14ac:dyDescent="0.25">
      <c r="A11" s="6" t="s">
        <v>52</v>
      </c>
      <c r="B11" s="10">
        <f>4500*1.089</f>
        <v>4900.5</v>
      </c>
    </row>
    <row r="12" spans="1:8" x14ac:dyDescent="0.25">
      <c r="A12" s="6" t="s">
        <v>53</v>
      </c>
      <c r="B12" s="10">
        <f>124000*1.089</f>
        <v>135036</v>
      </c>
    </row>
    <row r="13" spans="1:8" x14ac:dyDescent="0.25">
      <c r="A13" s="34" t="s">
        <v>33</v>
      </c>
      <c r="B13" s="35">
        <f>SUM(B9:B12)</f>
        <v>600235.06799999997</v>
      </c>
      <c r="C13" s="10">
        <f>B13-B6-B7</f>
        <v>637642.21799999999</v>
      </c>
    </row>
    <row r="14" spans="1:8" x14ac:dyDescent="0.25">
      <c r="A14" s="6" t="s">
        <v>66</v>
      </c>
      <c r="B14" s="12">
        <f>B13-B11</f>
        <v>595334.56799999997</v>
      </c>
      <c r="C14" s="12"/>
    </row>
    <row r="15" spans="1:8" x14ac:dyDescent="0.25">
      <c r="B15" s="12"/>
      <c r="C15" s="12"/>
    </row>
    <row r="16" spans="1:8" ht="47.25" x14ac:dyDescent="0.25">
      <c r="A16" s="13" t="s">
        <v>42</v>
      </c>
      <c r="B16" s="15" t="s">
        <v>43</v>
      </c>
      <c r="C16" s="14" t="s">
        <v>44</v>
      </c>
      <c r="D16" s="33" t="s">
        <v>34</v>
      </c>
      <c r="E16" s="14" t="s">
        <v>16</v>
      </c>
      <c r="F16" s="15" t="s">
        <v>36</v>
      </c>
      <c r="G16" s="15" t="s">
        <v>37</v>
      </c>
      <c r="H16" s="15" t="s">
        <v>38</v>
      </c>
    </row>
    <row r="17" spans="1:18" x14ac:dyDescent="0.25">
      <c r="B17" s="16">
        <f>B14*0.35</f>
        <v>208367.09879999998</v>
      </c>
      <c r="C17" s="16">
        <f>B14*0.65</f>
        <v>386967.46919999999</v>
      </c>
      <c r="D17" s="17"/>
    </row>
    <row r="18" spans="1:18" x14ac:dyDescent="0.25">
      <c r="A18" s="6" t="s">
        <v>12</v>
      </c>
      <c r="B18" s="18">
        <f>B17/11</f>
        <v>18942.463527272725</v>
      </c>
      <c r="C18" s="18">
        <f>$C$17*H18</f>
        <v>125384.893706531</v>
      </c>
      <c r="D18" s="10">
        <f>-B6-B7+B11</f>
        <v>42307.65</v>
      </c>
      <c r="E18" s="18">
        <f>SUM(B18:D18)</f>
        <v>186635.00723380371</v>
      </c>
      <c r="F18" s="19">
        <f t="shared" ref="F18:F43" si="0">E18/$E$44</f>
        <v>0.29269549908284731</v>
      </c>
      <c r="G18" s="20">
        <v>24626</v>
      </c>
      <c r="H18" s="21">
        <f>G18/$G$44</f>
        <v>0.32401921010504159</v>
      </c>
    </row>
    <row r="19" spans="1:18" x14ac:dyDescent="0.25">
      <c r="A19" s="6" t="s">
        <v>3</v>
      </c>
      <c r="B19" s="18">
        <v>18942.463527272725</v>
      </c>
      <c r="C19" s="18">
        <f t="shared" ref="C19:C43" si="1">$C$17*H19</f>
        <v>38268.206817927676</v>
      </c>
      <c r="D19" s="18"/>
      <c r="E19" s="18">
        <f t="shared" ref="E19:E43" si="2">SUM(B19:D19)</f>
        <v>57210.6703452004</v>
      </c>
      <c r="F19" s="19">
        <f t="shared" si="0"/>
        <v>8.9722212128056422E-2</v>
      </c>
      <c r="G19" s="20">
        <v>7516</v>
      </c>
      <c r="H19" s="21">
        <f t="shared" ref="H19:H43" si="3">G19/$G$44</f>
        <v>9.8892568145435414E-2</v>
      </c>
    </row>
    <row r="20" spans="1:18" x14ac:dyDescent="0.25">
      <c r="A20" s="6" t="s">
        <v>13</v>
      </c>
      <c r="B20" s="22">
        <v>18942.463527272725</v>
      </c>
      <c r="C20" s="18">
        <f t="shared" si="1"/>
        <v>16216.636337825927</v>
      </c>
      <c r="D20" s="18"/>
      <c r="E20" s="18">
        <f t="shared" si="2"/>
        <v>35159.099865098651</v>
      </c>
      <c r="F20" s="19">
        <f t="shared" si="0"/>
        <v>5.513922835187593E-2</v>
      </c>
      <c r="G20" s="20">
        <v>3185</v>
      </c>
      <c r="H20" s="21">
        <f t="shared" si="3"/>
        <v>4.1906975724216582E-2</v>
      </c>
    </row>
    <row r="21" spans="1:18" x14ac:dyDescent="0.25">
      <c r="A21" s="6" t="s">
        <v>15</v>
      </c>
      <c r="B21" s="22">
        <v>0</v>
      </c>
      <c r="C21" s="18">
        <f t="shared" si="1"/>
        <v>1145.602253064626</v>
      </c>
      <c r="D21" s="18"/>
      <c r="E21" s="18">
        <f t="shared" si="2"/>
        <v>1145.602253064626</v>
      </c>
      <c r="F21" s="19">
        <f t="shared" si="0"/>
        <v>1.7966223388687635E-3</v>
      </c>
      <c r="G21" s="20">
        <v>225</v>
      </c>
      <c r="H21" s="21">
        <f t="shared" si="3"/>
        <v>2.9604613933904961E-3</v>
      </c>
      <c r="R21" s="3">
        <v>346842</v>
      </c>
    </row>
    <row r="22" spans="1:18" x14ac:dyDescent="0.25">
      <c r="A22" s="6" t="s">
        <v>2</v>
      </c>
      <c r="B22" s="22">
        <v>18942.463527272725</v>
      </c>
      <c r="C22" s="18">
        <f t="shared" si="1"/>
        <v>46088.851532182198</v>
      </c>
      <c r="D22" s="18"/>
      <c r="E22" s="18">
        <f t="shared" si="2"/>
        <v>65031.315059454922</v>
      </c>
      <c r="F22" s="19">
        <f t="shared" si="0"/>
        <v>0.10198715396140054</v>
      </c>
      <c r="G22" s="20">
        <v>9052</v>
      </c>
      <c r="H22" s="21">
        <f t="shared" si="3"/>
        <v>0.11910265125764788</v>
      </c>
      <c r="R22" s="3">
        <v>111000</v>
      </c>
    </row>
    <row r="23" spans="1:18" x14ac:dyDescent="0.25">
      <c r="A23" s="6" t="s">
        <v>4</v>
      </c>
      <c r="B23" s="22">
        <f>B20/10</f>
        <v>1894.2463527272726</v>
      </c>
      <c r="C23" s="18">
        <f t="shared" si="1"/>
        <v>9745.2564994030836</v>
      </c>
      <c r="D23" s="18"/>
      <c r="E23" s="18">
        <f t="shared" si="2"/>
        <v>11639.502852130356</v>
      </c>
      <c r="F23" s="19">
        <f t="shared" si="0"/>
        <v>1.8253971464810313E-2</v>
      </c>
      <c r="G23" s="20">
        <v>1914</v>
      </c>
      <c r="H23" s="21">
        <f t="shared" si="3"/>
        <v>2.5183658253108487E-2</v>
      </c>
      <c r="R23" s="3">
        <v>24000</v>
      </c>
    </row>
    <row r="24" spans="1:18" x14ac:dyDescent="0.25">
      <c r="A24" s="6" t="s">
        <v>18</v>
      </c>
      <c r="B24" s="22">
        <v>0</v>
      </c>
      <c r="C24" s="18">
        <f t="shared" si="1"/>
        <v>181.59917196728142</v>
      </c>
      <c r="D24" s="18"/>
      <c r="E24" s="18">
        <f t="shared" si="2"/>
        <v>181.59917196728142</v>
      </c>
      <c r="F24" s="19">
        <f t="shared" si="0"/>
        <v>2.8479791149475212E-4</v>
      </c>
      <c r="G24" s="20">
        <v>35.666666666666664</v>
      </c>
      <c r="H24" s="21">
        <f t="shared" si="3"/>
        <v>4.6928795421153046E-4</v>
      </c>
      <c r="R24" s="3">
        <v>4500</v>
      </c>
    </row>
    <row r="25" spans="1:18" ht="31.5" x14ac:dyDescent="0.25">
      <c r="A25" s="6" t="s">
        <v>28</v>
      </c>
      <c r="B25" s="22">
        <v>18942.463527272725</v>
      </c>
      <c r="C25" s="18">
        <f t="shared" si="1"/>
        <v>3559.0043328541046</v>
      </c>
      <c r="D25" s="18"/>
      <c r="E25" s="18">
        <f t="shared" si="2"/>
        <v>22501.467860126828</v>
      </c>
      <c r="F25" s="19">
        <f t="shared" si="0"/>
        <v>3.528854775441928E-2</v>
      </c>
      <c r="G25" s="20">
        <v>699</v>
      </c>
      <c r="H25" s="21">
        <f t="shared" si="3"/>
        <v>9.1971667287998084E-3</v>
      </c>
      <c r="R25" s="3">
        <v>124000</v>
      </c>
    </row>
    <row r="26" spans="1:18" x14ac:dyDescent="0.25">
      <c r="A26" s="6" t="s">
        <v>24</v>
      </c>
      <c r="B26" s="22">
        <v>1894.2463527272726</v>
      </c>
      <c r="C26" s="18">
        <f t="shared" si="1"/>
        <v>244.39514732045353</v>
      </c>
      <c r="D26" s="18"/>
      <c r="E26" s="18">
        <f t="shared" si="2"/>
        <v>2138.6415000477259</v>
      </c>
      <c r="F26" s="19">
        <f t="shared" si="0"/>
        <v>3.3539835344587017E-3</v>
      </c>
      <c r="G26" s="20">
        <v>48</v>
      </c>
      <c r="H26" s="21">
        <f t="shared" si="3"/>
        <v>6.3156509725663921E-4</v>
      </c>
      <c r="R26" s="3">
        <v>10350</v>
      </c>
    </row>
    <row r="27" spans="1:18" x14ac:dyDescent="0.25">
      <c r="A27" s="6" t="s">
        <v>23</v>
      </c>
      <c r="B27" s="22">
        <v>18942.463527272725</v>
      </c>
      <c r="C27" s="18">
        <f t="shared" si="1"/>
        <v>37738.683998733366</v>
      </c>
      <c r="D27" s="18"/>
      <c r="E27" s="18">
        <f t="shared" si="2"/>
        <v>56681.147526006091</v>
      </c>
      <c r="F27" s="19">
        <f t="shared" si="0"/>
        <v>8.8891773358090426E-2</v>
      </c>
      <c r="G27" s="20">
        <v>7412</v>
      </c>
      <c r="H27" s="21">
        <f t="shared" si="3"/>
        <v>9.7524177101379367E-2</v>
      </c>
      <c r="R27" s="3">
        <v>-18330</v>
      </c>
    </row>
    <row r="28" spans="1:18" x14ac:dyDescent="0.25">
      <c r="A28" s="6" t="s">
        <v>25</v>
      </c>
      <c r="B28" s="22">
        <v>1894.2463527272726</v>
      </c>
      <c r="C28" s="18">
        <f t="shared" si="1"/>
        <v>4307.4644715229933</v>
      </c>
      <c r="D28" s="18"/>
      <c r="E28" s="18">
        <f t="shared" si="2"/>
        <v>6201.7108242502654</v>
      </c>
      <c r="F28" s="19">
        <f t="shared" si="0"/>
        <v>9.7260040963132489E-3</v>
      </c>
      <c r="G28" s="20">
        <v>846</v>
      </c>
      <c r="H28" s="21">
        <f t="shared" si="3"/>
        <v>1.1131334839148266E-2</v>
      </c>
      <c r="R28" s="3">
        <f>SUM(R21:R27)</f>
        <v>602362</v>
      </c>
    </row>
    <row r="29" spans="1:18" x14ac:dyDescent="0.25">
      <c r="A29" s="6" t="s">
        <v>22</v>
      </c>
      <c r="B29" s="22">
        <v>1894.2463527272726</v>
      </c>
      <c r="C29" s="18">
        <f t="shared" si="1"/>
        <v>458.24090122585039</v>
      </c>
      <c r="D29" s="18"/>
      <c r="E29" s="18">
        <f t="shared" si="2"/>
        <v>2352.4872539531229</v>
      </c>
      <c r="F29" s="19">
        <f t="shared" si="0"/>
        <v>3.6893530377142044E-3</v>
      </c>
      <c r="G29" s="20">
        <v>90</v>
      </c>
      <c r="H29" s="21">
        <f t="shared" si="3"/>
        <v>1.1841845573561985E-3</v>
      </c>
      <c r="R29" s="3">
        <f>R28*1.089</f>
        <v>655972.21799999999</v>
      </c>
    </row>
    <row r="30" spans="1:18" x14ac:dyDescent="0.25">
      <c r="A30" s="6" t="s">
        <v>26</v>
      </c>
      <c r="B30" s="22">
        <v>1894.2463527272726</v>
      </c>
      <c r="C30" s="18">
        <f t="shared" si="1"/>
        <v>6690.3171578974152</v>
      </c>
      <c r="D30" s="18"/>
      <c r="E30" s="18">
        <f t="shared" si="2"/>
        <v>8584.5635106246882</v>
      </c>
      <c r="F30" s="19">
        <f t="shared" si="0"/>
        <v>1.3462978561160278E-2</v>
      </c>
      <c r="G30" s="20">
        <v>1314</v>
      </c>
      <c r="H30" s="21">
        <f t="shared" si="3"/>
        <v>1.7289094537400497E-2</v>
      </c>
    </row>
    <row r="31" spans="1:18" x14ac:dyDescent="0.25">
      <c r="A31" s="6" t="s">
        <v>27</v>
      </c>
      <c r="B31" s="22">
        <v>1894.2463527272726</v>
      </c>
      <c r="C31" s="18">
        <f t="shared" si="1"/>
        <v>931.75649915922895</v>
      </c>
      <c r="D31" s="18"/>
      <c r="E31" s="18">
        <f t="shared" si="2"/>
        <v>2826.0028518865015</v>
      </c>
      <c r="F31" s="19">
        <f t="shared" si="0"/>
        <v>4.4319569377799595E-3</v>
      </c>
      <c r="G31" s="20">
        <v>183</v>
      </c>
      <c r="H31" s="21">
        <f t="shared" si="3"/>
        <v>2.4078419332909367E-3</v>
      </c>
    </row>
    <row r="32" spans="1:18" x14ac:dyDescent="0.25">
      <c r="A32" s="6" t="s">
        <v>5</v>
      </c>
      <c r="B32" s="22">
        <v>0</v>
      </c>
      <c r="C32" s="18">
        <f t="shared" si="1"/>
        <v>386.95898325738477</v>
      </c>
      <c r="D32" s="18"/>
      <c r="E32" s="18">
        <f t="shared" si="2"/>
        <v>386.95898325738477</v>
      </c>
      <c r="F32" s="19">
        <f t="shared" si="0"/>
        <v>6.0685910112900454E-4</v>
      </c>
      <c r="G32" s="20">
        <v>76</v>
      </c>
      <c r="H32" s="21">
        <f t="shared" si="3"/>
        <v>9.9997807065634547E-4</v>
      </c>
    </row>
    <row r="33" spans="1:8" x14ac:dyDescent="0.25">
      <c r="A33" s="6" t="s">
        <v>6</v>
      </c>
      <c r="B33" s="22">
        <v>18942.463527272725</v>
      </c>
      <c r="C33" s="18">
        <f t="shared" si="1"/>
        <v>27652.292606195482</v>
      </c>
      <c r="D33" s="18"/>
      <c r="E33" s="18">
        <f t="shared" si="2"/>
        <v>46594.75613346821</v>
      </c>
      <c r="F33" s="19">
        <f t="shared" si="0"/>
        <v>7.3073511787872567E-2</v>
      </c>
      <c r="G33" s="20">
        <v>5431</v>
      </c>
      <c r="H33" s="21">
        <f t="shared" si="3"/>
        <v>7.1458959233350161E-2</v>
      </c>
    </row>
    <row r="34" spans="1:8" x14ac:dyDescent="0.25">
      <c r="A34" s="6" t="s">
        <v>19</v>
      </c>
      <c r="B34" s="22">
        <v>0</v>
      </c>
      <c r="C34" s="18">
        <f t="shared" si="1"/>
        <v>280.03610630468631</v>
      </c>
      <c r="D34" s="18"/>
      <c r="E34" s="18">
        <f t="shared" si="2"/>
        <v>280.03610630468631</v>
      </c>
      <c r="F34" s="19">
        <f t="shared" si="0"/>
        <v>4.3917434950125326E-4</v>
      </c>
      <c r="G34" s="20">
        <v>55</v>
      </c>
      <c r="H34" s="21">
        <f t="shared" si="3"/>
        <v>7.2366834060656575E-4</v>
      </c>
    </row>
    <row r="35" spans="1:8" x14ac:dyDescent="0.25">
      <c r="A35" s="6" t="s">
        <v>7</v>
      </c>
      <c r="B35" s="22">
        <v>18942.463527272725</v>
      </c>
      <c r="C35" s="18">
        <f t="shared" si="1"/>
        <v>570.25534374772485</v>
      </c>
      <c r="D35" s="18"/>
      <c r="E35" s="18">
        <f t="shared" si="2"/>
        <v>19512.71887102045</v>
      </c>
      <c r="F35" s="19">
        <f t="shared" si="0"/>
        <v>3.0601359697014996E-2</v>
      </c>
      <c r="G35" s="20">
        <v>112</v>
      </c>
      <c r="H35" s="21">
        <f t="shared" si="3"/>
        <v>1.4736518935988248E-3</v>
      </c>
    </row>
    <row r="36" spans="1:8" x14ac:dyDescent="0.25">
      <c r="A36" s="6" t="s">
        <v>8</v>
      </c>
      <c r="B36" s="22">
        <v>18942.463527272725</v>
      </c>
      <c r="C36" s="18">
        <f t="shared" si="1"/>
        <v>55706.818892355877</v>
      </c>
      <c r="D36" s="18"/>
      <c r="E36" s="18">
        <f t="shared" si="2"/>
        <v>74649.282419628609</v>
      </c>
      <c r="F36" s="19">
        <f t="shared" si="0"/>
        <v>0.1170707966197254</v>
      </c>
      <c r="G36" s="20">
        <v>10941</v>
      </c>
      <c r="H36" s="21">
        <f t="shared" si="3"/>
        <v>0.1439573693559352</v>
      </c>
    </row>
    <row r="37" spans="1:8" x14ac:dyDescent="0.25">
      <c r="A37" s="6" t="s">
        <v>9</v>
      </c>
      <c r="B37" s="22">
        <v>0</v>
      </c>
      <c r="C37" s="18">
        <f t="shared" si="1"/>
        <v>1008.1299826968707</v>
      </c>
      <c r="D37" s="18"/>
      <c r="E37" s="18">
        <f t="shared" si="2"/>
        <v>1008.1299826968707</v>
      </c>
      <c r="F37" s="19">
        <f t="shared" si="0"/>
        <v>1.5810276582045116E-3</v>
      </c>
      <c r="G37" s="20">
        <v>198</v>
      </c>
      <c r="H37" s="21">
        <f t="shared" si="3"/>
        <v>2.6052060261836365E-3</v>
      </c>
    </row>
    <row r="38" spans="1:8" x14ac:dyDescent="0.25">
      <c r="A38" s="6" t="s">
        <v>10</v>
      </c>
      <c r="B38" s="22">
        <v>18942.463527272725</v>
      </c>
      <c r="C38" s="18">
        <f t="shared" si="1"/>
        <v>3014.2068169522599</v>
      </c>
      <c r="D38" s="18"/>
      <c r="E38" s="18">
        <f t="shared" si="2"/>
        <v>21956.670344224985</v>
      </c>
      <c r="F38" s="19">
        <f t="shared" si="0"/>
        <v>3.4434154019935027E-2</v>
      </c>
      <c r="G38" s="20">
        <v>592</v>
      </c>
      <c r="H38" s="21">
        <f t="shared" si="3"/>
        <v>7.7893028661652165E-3</v>
      </c>
    </row>
    <row r="39" spans="1:8" x14ac:dyDescent="0.25">
      <c r="A39" s="6" t="s">
        <v>11</v>
      </c>
      <c r="B39" s="23">
        <v>1894.2463527272726</v>
      </c>
      <c r="C39" s="18">
        <f t="shared" si="1"/>
        <v>5203.5800116979899</v>
      </c>
      <c r="D39" s="18"/>
      <c r="E39" s="18">
        <f t="shared" si="2"/>
        <v>7097.826364425262</v>
      </c>
      <c r="F39" s="19">
        <f t="shared" si="0"/>
        <v>1.1131362014717259E-2</v>
      </c>
      <c r="G39" s="20">
        <v>1022</v>
      </c>
      <c r="H39" s="21">
        <f t="shared" si="3"/>
        <v>1.3447073529089276E-2</v>
      </c>
    </row>
    <row r="40" spans="1:8" x14ac:dyDescent="0.25">
      <c r="A40" s="6" t="s">
        <v>41</v>
      </c>
      <c r="B40" s="22">
        <v>1894.2463527272726</v>
      </c>
      <c r="C40" s="18">
        <f t="shared" si="1"/>
        <v>799.37579436065005</v>
      </c>
      <c r="D40" s="18"/>
      <c r="E40" s="18">
        <f t="shared" si="2"/>
        <v>2693.6221470879227</v>
      </c>
      <c r="F40" s="19">
        <f t="shared" si="0"/>
        <v>4.2243472452884586E-3</v>
      </c>
      <c r="G40" s="20">
        <v>157</v>
      </c>
      <c r="H40" s="21">
        <f t="shared" si="3"/>
        <v>2.0657441722769241E-3</v>
      </c>
    </row>
    <row r="41" spans="1:8" x14ac:dyDescent="0.25">
      <c r="A41" s="6" t="s">
        <v>39</v>
      </c>
      <c r="B41" s="22">
        <v>1894.2463527272726</v>
      </c>
      <c r="C41" s="18">
        <f t="shared" si="1"/>
        <v>682.26978626959942</v>
      </c>
      <c r="D41" s="18"/>
      <c r="E41" s="18">
        <f t="shared" si="2"/>
        <v>2576.5161389968721</v>
      </c>
      <c r="F41" s="19">
        <f t="shared" si="0"/>
        <v>4.0406925173152074E-3</v>
      </c>
      <c r="G41" s="20">
        <v>134</v>
      </c>
      <c r="H41" s="21">
        <f t="shared" si="3"/>
        <v>1.7631192298414511E-3</v>
      </c>
    </row>
    <row r="42" spans="1:8" x14ac:dyDescent="0.25">
      <c r="A42" s="6" t="s">
        <v>40</v>
      </c>
      <c r="B42" s="22">
        <v>1894.2463527272726</v>
      </c>
      <c r="C42" s="18">
        <f t="shared" si="1"/>
        <v>320.76863085809526</v>
      </c>
      <c r="D42" s="18"/>
      <c r="E42" s="18">
        <f t="shared" si="2"/>
        <v>2215.0149835853676</v>
      </c>
      <c r="F42" s="19">
        <f t="shared" si="0"/>
        <v>3.4737583570499525E-3</v>
      </c>
      <c r="G42" s="20">
        <v>63</v>
      </c>
      <c r="H42" s="21">
        <f t="shared" si="3"/>
        <v>8.2892919014933893E-4</v>
      </c>
    </row>
    <row r="43" spans="1:8" ht="16.5" thickBot="1" x14ac:dyDescent="0.3">
      <c r="A43" s="24" t="s">
        <v>17</v>
      </c>
      <c r="B43" s="25">
        <v>0</v>
      </c>
      <c r="C43" s="26">
        <f t="shared" si="1"/>
        <v>381.8674176882086</v>
      </c>
      <c r="D43" s="26"/>
      <c r="E43" s="26">
        <f t="shared" si="2"/>
        <v>381.8674176882086</v>
      </c>
      <c r="F43" s="27">
        <f t="shared" si="0"/>
        <v>5.9887411295625438E-4</v>
      </c>
      <c r="G43" s="28">
        <v>75</v>
      </c>
      <c r="H43" s="21">
        <f t="shared" si="3"/>
        <v>9.8682046446349871E-4</v>
      </c>
    </row>
    <row r="44" spans="1:8" x14ac:dyDescent="0.25">
      <c r="B44" s="16">
        <f>SUM(B18:B43)</f>
        <v>208367.09879999995</v>
      </c>
      <c r="C44" s="16">
        <f>SUM(C18:C43)</f>
        <v>386967.46919999999</v>
      </c>
      <c r="D44" s="16"/>
      <c r="E44" s="16">
        <f>SUM(E18:E43)</f>
        <v>637642.21799999999</v>
      </c>
      <c r="F44" s="19">
        <f>SUM(F18:F43)</f>
        <v>1</v>
      </c>
      <c r="G44" s="29">
        <f>SUM(G18:G43)</f>
        <v>76001.666666666657</v>
      </c>
      <c r="H44" s="30">
        <f>SUM(H18:H43)</f>
        <v>1</v>
      </c>
    </row>
    <row r="46" spans="1:8" x14ac:dyDescent="0.25">
      <c r="B46" s="18">
        <f>B44-B17</f>
        <v>0</v>
      </c>
      <c r="G46" s="29">
        <f>G44-76001</f>
        <v>0.66666666665696539</v>
      </c>
    </row>
    <row r="47" spans="1:8" x14ac:dyDescent="0.25">
      <c r="H47" s="3" t="s">
        <v>35</v>
      </c>
    </row>
  </sheetData>
  <mergeCells count="2">
    <mergeCell ref="A1:G1"/>
    <mergeCell ref="A2:G2"/>
  </mergeCells>
  <pageMargins left="0.7" right="0.7" top="0.75" bottom="0.75" header="0.3" footer="0.3"/>
  <pageSetup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D434E-34E5-4903-A75F-62E4ED73603E}">
  <dimension ref="A1:H41"/>
  <sheetViews>
    <sheetView topLeftCell="A9" workbookViewId="0">
      <selection activeCell="D12" activeCellId="1" sqref="B7 D12"/>
    </sheetView>
  </sheetViews>
  <sheetFormatPr defaultRowHeight="15.75" x14ac:dyDescent="0.25"/>
  <cols>
    <col min="1" max="1" width="58.140625" style="6" customWidth="1"/>
    <col min="2" max="2" width="15.85546875" style="3" bestFit="1" customWidth="1"/>
    <col min="3" max="3" width="17.140625" style="3" bestFit="1" customWidth="1"/>
    <col min="4" max="4" width="9.85546875" style="3" bestFit="1" customWidth="1"/>
    <col min="5" max="6" width="15.85546875" style="3" bestFit="1" customWidth="1"/>
    <col min="7" max="7" width="11" style="3" bestFit="1" customWidth="1"/>
    <col min="8" max="8" width="12" style="3" customWidth="1"/>
    <col min="9" max="12" width="9.140625" style="3"/>
    <col min="13" max="16" width="9.42578125" style="3" bestFit="1" customWidth="1"/>
    <col min="17" max="16384" width="9.140625" style="3"/>
  </cols>
  <sheetData>
    <row r="1" spans="1:8" ht="21" x14ac:dyDescent="0.35">
      <c r="A1" s="45" t="s">
        <v>46</v>
      </c>
      <c r="B1" s="46"/>
      <c r="C1" s="46"/>
      <c r="D1" s="46"/>
      <c r="E1" s="46"/>
      <c r="F1" s="46"/>
      <c r="G1" s="46"/>
    </row>
    <row r="2" spans="1:8" ht="16.5" thickBot="1" x14ac:dyDescent="0.3"/>
    <row r="3" spans="1:8" x14ac:dyDescent="0.25">
      <c r="A3" s="7" t="s">
        <v>47</v>
      </c>
      <c r="B3" s="8">
        <f>389253.6*1.089</f>
        <v>423897.17039999994</v>
      </c>
    </row>
    <row r="4" spans="1:8" x14ac:dyDescent="0.25">
      <c r="A4" s="9" t="s">
        <v>30</v>
      </c>
      <c r="B4" s="38">
        <f>-10867.5*1.089</f>
        <v>-11834.7075</v>
      </c>
      <c r="E4" s="10"/>
    </row>
    <row r="5" spans="1:8" x14ac:dyDescent="0.25">
      <c r="A5" s="9" t="s">
        <v>32</v>
      </c>
      <c r="B5" s="38">
        <f>-25200*1.089</f>
        <v>-27442.799999999999</v>
      </c>
    </row>
    <row r="6" spans="1:8" ht="16.5" thickBot="1" x14ac:dyDescent="0.3">
      <c r="A6" s="11" t="s">
        <v>45</v>
      </c>
      <c r="B6" s="39">
        <v>-10998</v>
      </c>
    </row>
    <row r="7" spans="1:8" ht="16.5" thickBot="1" x14ac:dyDescent="0.3">
      <c r="A7" s="36" t="s">
        <v>33</v>
      </c>
      <c r="B7" s="37">
        <f>SUM(B3:B6)</f>
        <v>373621.66289999994</v>
      </c>
    </row>
    <row r="8" spans="1:8" x14ac:dyDescent="0.25">
      <c r="B8" s="12"/>
      <c r="C8" s="12"/>
    </row>
    <row r="9" spans="1:8" x14ac:dyDescent="0.25">
      <c r="B9" s="12"/>
      <c r="C9" s="12"/>
    </row>
    <row r="10" spans="1:8" ht="47.25" x14ac:dyDescent="0.25">
      <c r="A10" s="13" t="s">
        <v>42</v>
      </c>
      <c r="B10" s="15" t="s">
        <v>43</v>
      </c>
      <c r="C10" s="14" t="s">
        <v>44</v>
      </c>
      <c r="D10" s="33" t="s">
        <v>34</v>
      </c>
      <c r="E10" s="14" t="s">
        <v>16</v>
      </c>
      <c r="F10" s="15" t="s">
        <v>36</v>
      </c>
      <c r="G10" s="15" t="s">
        <v>37</v>
      </c>
      <c r="H10" s="15" t="s">
        <v>38</v>
      </c>
    </row>
    <row r="11" spans="1:8" x14ac:dyDescent="0.25">
      <c r="B11" s="16">
        <f>B7*0.35</f>
        <v>130767.58201499996</v>
      </c>
      <c r="C11" s="16">
        <f>B7*0.65</f>
        <v>242854.08088499997</v>
      </c>
      <c r="D11" s="17"/>
    </row>
    <row r="12" spans="1:8" x14ac:dyDescent="0.25">
      <c r="A12" s="6" t="s">
        <v>12</v>
      </c>
      <c r="B12" s="18">
        <f>B11/11</f>
        <v>11887.962001363632</v>
      </c>
      <c r="C12" s="18">
        <f>$C$11*H12</f>
        <v>78689.387459143574</v>
      </c>
      <c r="D12" s="10">
        <f>-B4-B5</f>
        <v>39277.5075</v>
      </c>
      <c r="E12" s="18">
        <f>SUM(B12:D12)</f>
        <v>129854.8569605072</v>
      </c>
      <c r="F12" s="19">
        <f t="shared" ref="F12:F37" si="0">E12/$E$38</f>
        <v>0.31449532057598739</v>
      </c>
      <c r="G12" s="20">
        <v>24626</v>
      </c>
      <c r="H12" s="21">
        <f>G12/$G$38</f>
        <v>0.32401921010504159</v>
      </c>
    </row>
    <row r="13" spans="1:8" x14ac:dyDescent="0.25">
      <c r="A13" s="6" t="s">
        <v>3</v>
      </c>
      <c r="B13" s="18">
        <v>11887.962001363632</v>
      </c>
      <c r="C13" s="18">
        <f t="shared" ref="C13:C37" si="1">$C$11*H13</f>
        <v>24016.463743316945</v>
      </c>
      <c r="D13" s="18"/>
      <c r="E13" s="18">
        <f t="shared" ref="E13:E37" si="2">SUM(B13:D13)</f>
        <v>35904.425744680579</v>
      </c>
      <c r="F13" s="19">
        <f t="shared" si="0"/>
        <v>8.6956885163750358E-2</v>
      </c>
      <c r="G13" s="20">
        <v>7516</v>
      </c>
      <c r="H13" s="21">
        <f t="shared" ref="H13:H37" si="3">G13/$G$38</f>
        <v>9.8892568145435414E-2</v>
      </c>
    </row>
    <row r="14" spans="1:8" x14ac:dyDescent="0.25">
      <c r="A14" s="6" t="s">
        <v>13</v>
      </c>
      <c r="B14" s="22">
        <v>11887.962001363632</v>
      </c>
      <c r="C14" s="18">
        <f t="shared" si="1"/>
        <v>10177.280072174624</v>
      </c>
      <c r="D14" s="18"/>
      <c r="E14" s="18">
        <f t="shared" si="2"/>
        <v>22065.242073538255</v>
      </c>
      <c r="F14" s="19">
        <f t="shared" si="0"/>
        <v>5.3439783015699321E-2</v>
      </c>
      <c r="G14" s="20">
        <v>3185</v>
      </c>
      <c r="H14" s="21">
        <f t="shared" si="3"/>
        <v>4.1906975724216582E-2</v>
      </c>
    </row>
    <row r="15" spans="1:8" x14ac:dyDescent="0.25">
      <c r="A15" s="6" t="s">
        <v>15</v>
      </c>
      <c r="B15" s="22">
        <v>0</v>
      </c>
      <c r="C15" s="18">
        <f t="shared" si="1"/>
        <v>718.96013068737523</v>
      </c>
      <c r="D15" s="18"/>
      <c r="E15" s="18">
        <f t="shared" si="2"/>
        <v>718.96013068737523</v>
      </c>
      <c r="F15" s="19">
        <f t="shared" si="0"/>
        <v>1.7412486685087693E-3</v>
      </c>
      <c r="G15" s="20">
        <v>225</v>
      </c>
      <c r="H15" s="21">
        <f t="shared" si="3"/>
        <v>2.9604613933904961E-3</v>
      </c>
    </row>
    <row r="16" spans="1:8" x14ac:dyDescent="0.25">
      <c r="A16" s="6" t="s">
        <v>2</v>
      </c>
      <c r="B16" s="22">
        <v>11887.962001363632</v>
      </c>
      <c r="C16" s="18">
        <f t="shared" si="1"/>
        <v>28924.564902142763</v>
      </c>
      <c r="D16" s="18"/>
      <c r="E16" s="18">
        <f t="shared" si="2"/>
        <v>40812.526903506398</v>
      </c>
      <c r="F16" s="19">
        <f t="shared" si="0"/>
        <v>9.8843809407436894E-2</v>
      </c>
      <c r="G16" s="20">
        <v>9052</v>
      </c>
      <c r="H16" s="21">
        <f t="shared" si="3"/>
        <v>0.11910265125764788</v>
      </c>
    </row>
    <row r="17" spans="1:8" x14ac:dyDescent="0.25">
      <c r="A17" s="6" t="s">
        <v>4</v>
      </c>
      <c r="B17" s="22">
        <f>B16/10</f>
        <v>1188.7962001363633</v>
      </c>
      <c r="C17" s="18">
        <f t="shared" si="1"/>
        <v>6115.9541783806053</v>
      </c>
      <c r="D17" s="18"/>
      <c r="E17" s="18">
        <f t="shared" si="2"/>
        <v>7304.7503785169683</v>
      </c>
      <c r="F17" s="19">
        <f t="shared" si="0"/>
        <v>1.7691366082039892E-2</v>
      </c>
      <c r="G17" s="20">
        <v>1914</v>
      </c>
      <c r="H17" s="21">
        <f t="shared" si="3"/>
        <v>2.5183658253108487E-2</v>
      </c>
    </row>
    <row r="18" spans="1:8" x14ac:dyDescent="0.25">
      <c r="A18" s="6" t="s">
        <v>18</v>
      </c>
      <c r="B18" s="22">
        <v>0</v>
      </c>
      <c r="C18" s="18">
        <f t="shared" si="1"/>
        <v>113.96849479044319</v>
      </c>
      <c r="D18" s="18"/>
      <c r="E18" s="18">
        <f t="shared" si="2"/>
        <v>113.96849479044319</v>
      </c>
      <c r="F18" s="19">
        <f t="shared" si="0"/>
        <v>2.7602015930435305E-4</v>
      </c>
      <c r="G18" s="20">
        <v>35.666666666666664</v>
      </c>
      <c r="H18" s="21">
        <f t="shared" si="3"/>
        <v>4.6928795421153046E-4</v>
      </c>
    </row>
    <row r="19" spans="1:8" ht="31.5" x14ac:dyDescent="0.25">
      <c r="A19" s="6" t="s">
        <v>28</v>
      </c>
      <c r="B19" s="22">
        <v>11887.962001363632</v>
      </c>
      <c r="C19" s="18">
        <f t="shared" si="1"/>
        <v>2233.5694726687793</v>
      </c>
      <c r="D19" s="18"/>
      <c r="E19" s="18">
        <f t="shared" si="2"/>
        <v>14121.531474032412</v>
      </c>
      <c r="F19" s="19">
        <f t="shared" si="0"/>
        <v>3.4200919949420212E-2</v>
      </c>
      <c r="G19" s="20">
        <v>699</v>
      </c>
      <c r="H19" s="21">
        <f t="shared" si="3"/>
        <v>9.1971667287998084E-3</v>
      </c>
    </row>
    <row r="20" spans="1:8" x14ac:dyDescent="0.25">
      <c r="A20" s="6" t="s">
        <v>24</v>
      </c>
      <c r="B20" s="22">
        <v>1188.7962001363633</v>
      </c>
      <c r="C20" s="18">
        <f t="shared" si="1"/>
        <v>153.37816121330673</v>
      </c>
      <c r="D20" s="18"/>
      <c r="E20" s="18">
        <f t="shared" si="2"/>
        <v>1342.1743613496701</v>
      </c>
      <c r="F20" s="19">
        <f t="shared" si="0"/>
        <v>3.2506104578738345E-3</v>
      </c>
      <c r="G20" s="20">
        <v>48</v>
      </c>
      <c r="H20" s="21">
        <f t="shared" si="3"/>
        <v>6.3156509725663921E-4</v>
      </c>
    </row>
    <row r="21" spans="1:8" x14ac:dyDescent="0.25">
      <c r="A21" s="6" t="s">
        <v>23</v>
      </c>
      <c r="B21" s="22">
        <v>11887.962001363632</v>
      </c>
      <c r="C21" s="18">
        <f t="shared" si="1"/>
        <v>23684.144394021449</v>
      </c>
      <c r="D21" s="18"/>
      <c r="E21" s="18">
        <f t="shared" si="2"/>
        <v>35572.106395385083</v>
      </c>
      <c r="F21" s="19">
        <f t="shared" si="0"/>
        <v>8.6152041334750754E-2</v>
      </c>
      <c r="G21" s="20">
        <v>7412</v>
      </c>
      <c r="H21" s="21">
        <f t="shared" si="3"/>
        <v>9.7524177101379367E-2</v>
      </c>
    </row>
    <row r="22" spans="1:8" x14ac:dyDescent="0.25">
      <c r="A22" s="6" t="s">
        <v>25</v>
      </c>
      <c r="B22" s="22">
        <v>1188.7962001363633</v>
      </c>
      <c r="C22" s="18">
        <f t="shared" si="1"/>
        <v>2703.290091384531</v>
      </c>
      <c r="D22" s="18"/>
      <c r="E22" s="18">
        <f t="shared" si="2"/>
        <v>3892.0862915208945</v>
      </c>
      <c r="F22" s="19">
        <f t="shared" si="0"/>
        <v>9.4262390688516044E-3</v>
      </c>
      <c r="G22" s="20">
        <v>846</v>
      </c>
      <c r="H22" s="21">
        <f t="shared" si="3"/>
        <v>1.1131334839148266E-2</v>
      </c>
    </row>
    <row r="23" spans="1:8" x14ac:dyDescent="0.25">
      <c r="A23" s="6" t="s">
        <v>22</v>
      </c>
      <c r="B23" s="22">
        <v>1188.7962001363633</v>
      </c>
      <c r="C23" s="18">
        <f t="shared" si="1"/>
        <v>287.58405227495012</v>
      </c>
      <c r="D23" s="18"/>
      <c r="E23" s="18">
        <f t="shared" si="2"/>
        <v>1476.3802524113134</v>
      </c>
      <c r="F23" s="19">
        <f t="shared" si="0"/>
        <v>3.5756435426621382E-3</v>
      </c>
      <c r="G23" s="20">
        <v>90</v>
      </c>
      <c r="H23" s="21">
        <f t="shared" si="3"/>
        <v>1.1841845573561985E-3</v>
      </c>
    </row>
    <row r="24" spans="1:8" x14ac:dyDescent="0.25">
      <c r="A24" s="6" t="s">
        <v>26</v>
      </c>
      <c r="B24" s="22">
        <v>1188.7962001363633</v>
      </c>
      <c r="C24" s="18">
        <f t="shared" si="1"/>
        <v>4198.7271632142711</v>
      </c>
      <c r="D24" s="18"/>
      <c r="E24" s="18">
        <f t="shared" si="2"/>
        <v>5387.5233633506341</v>
      </c>
      <c r="F24" s="19">
        <f t="shared" si="0"/>
        <v>1.3048036299349841E-2</v>
      </c>
      <c r="G24" s="20">
        <v>1314</v>
      </c>
      <c r="H24" s="21">
        <f t="shared" si="3"/>
        <v>1.7289094537400497E-2</v>
      </c>
    </row>
    <row r="25" spans="1:8" x14ac:dyDescent="0.25">
      <c r="A25" s="6" t="s">
        <v>27</v>
      </c>
      <c r="B25" s="22">
        <v>1188.7962001363633</v>
      </c>
      <c r="C25" s="18">
        <f t="shared" si="1"/>
        <v>584.75423962573188</v>
      </c>
      <c r="D25" s="18"/>
      <c r="E25" s="18">
        <f t="shared" si="2"/>
        <v>1773.5504397620953</v>
      </c>
      <c r="F25" s="19">
        <f t="shared" si="0"/>
        <v>4.2953596589790964E-3</v>
      </c>
      <c r="G25" s="20">
        <v>183</v>
      </c>
      <c r="H25" s="21">
        <f t="shared" si="3"/>
        <v>2.4078419332909367E-3</v>
      </c>
    </row>
    <row r="26" spans="1:8" x14ac:dyDescent="0.25">
      <c r="A26" s="6" t="s">
        <v>5</v>
      </c>
      <c r="B26" s="22">
        <v>0</v>
      </c>
      <c r="C26" s="18">
        <f t="shared" si="1"/>
        <v>242.84875525440233</v>
      </c>
      <c r="D26" s="18"/>
      <c r="E26" s="18">
        <f t="shared" si="2"/>
        <v>242.84875525440233</v>
      </c>
      <c r="F26" s="19">
        <f t="shared" si="0"/>
        <v>5.881551058074066E-4</v>
      </c>
      <c r="G26" s="20">
        <v>76</v>
      </c>
      <c r="H26" s="21">
        <f t="shared" si="3"/>
        <v>9.9997807065634547E-4</v>
      </c>
    </row>
    <row r="27" spans="1:8" x14ac:dyDescent="0.25">
      <c r="A27" s="6" t="s">
        <v>6</v>
      </c>
      <c r="B27" s="22">
        <v>11887.962001363632</v>
      </c>
      <c r="C27" s="18">
        <f t="shared" si="1"/>
        <v>17354.099865613935</v>
      </c>
      <c r="D27" s="18"/>
      <c r="E27" s="18">
        <f t="shared" si="2"/>
        <v>29242.061866977565</v>
      </c>
      <c r="F27" s="19">
        <f t="shared" si="0"/>
        <v>7.0821314168902416E-2</v>
      </c>
      <c r="G27" s="20">
        <v>5431</v>
      </c>
      <c r="H27" s="21">
        <f t="shared" si="3"/>
        <v>7.1458959233350161E-2</v>
      </c>
    </row>
    <row r="28" spans="1:8" x14ac:dyDescent="0.25">
      <c r="A28" s="6" t="s">
        <v>19</v>
      </c>
      <c r="B28" s="22">
        <v>0</v>
      </c>
      <c r="C28" s="18">
        <f t="shared" si="1"/>
        <v>175.74580972358063</v>
      </c>
      <c r="D28" s="18"/>
      <c r="E28" s="18">
        <f t="shared" si="2"/>
        <v>175.74580972358063</v>
      </c>
      <c r="F28" s="19">
        <f t="shared" si="0"/>
        <v>4.2563856341325474E-4</v>
      </c>
      <c r="G28" s="20">
        <v>55</v>
      </c>
      <c r="H28" s="21">
        <f t="shared" si="3"/>
        <v>7.2366834060656575E-4</v>
      </c>
    </row>
    <row r="29" spans="1:8" x14ac:dyDescent="0.25">
      <c r="A29" s="6" t="s">
        <v>7</v>
      </c>
      <c r="B29" s="22">
        <v>11887.962001363632</v>
      </c>
      <c r="C29" s="18">
        <f t="shared" si="1"/>
        <v>357.88237616438238</v>
      </c>
      <c r="D29" s="18"/>
      <c r="E29" s="18">
        <f t="shared" si="2"/>
        <v>12245.844377528014</v>
      </c>
      <c r="F29" s="19">
        <f t="shared" si="0"/>
        <v>2.9658195645355108E-2</v>
      </c>
      <c r="G29" s="20">
        <v>112</v>
      </c>
      <c r="H29" s="21">
        <f t="shared" si="3"/>
        <v>1.4736518935988248E-3</v>
      </c>
    </row>
    <row r="30" spans="1:8" x14ac:dyDescent="0.25">
      <c r="A30" s="6" t="s">
        <v>8</v>
      </c>
      <c r="B30" s="22">
        <v>11887.962001363632</v>
      </c>
      <c r="C30" s="18">
        <f t="shared" si="1"/>
        <v>34960.634621558107</v>
      </c>
      <c r="D30" s="18"/>
      <c r="E30" s="18">
        <f t="shared" si="2"/>
        <v>46848.596622921737</v>
      </c>
      <c r="F30" s="19">
        <f t="shared" si="0"/>
        <v>0.1134625593399394</v>
      </c>
      <c r="G30" s="20">
        <v>10941</v>
      </c>
      <c r="H30" s="21">
        <f t="shared" si="3"/>
        <v>0.1439573693559352</v>
      </c>
    </row>
    <row r="31" spans="1:8" x14ac:dyDescent="0.25">
      <c r="A31" s="6" t="s">
        <v>9</v>
      </c>
      <c r="B31" s="22">
        <v>0</v>
      </c>
      <c r="C31" s="18">
        <f t="shared" si="1"/>
        <v>632.68491500489017</v>
      </c>
      <c r="D31" s="18"/>
      <c r="E31" s="18">
        <f t="shared" si="2"/>
        <v>632.68491500489017</v>
      </c>
      <c r="F31" s="19">
        <f t="shared" si="0"/>
        <v>1.5322988282877169E-3</v>
      </c>
      <c r="G31" s="20">
        <v>198</v>
      </c>
      <c r="H31" s="21">
        <f t="shared" si="3"/>
        <v>2.6052060261836365E-3</v>
      </c>
    </row>
    <row r="32" spans="1:8" x14ac:dyDescent="0.25">
      <c r="A32" s="6" t="s">
        <v>10</v>
      </c>
      <c r="B32" s="22">
        <v>11887.962001363632</v>
      </c>
      <c r="C32" s="18">
        <f t="shared" si="1"/>
        <v>1891.6639882974496</v>
      </c>
      <c r="D32" s="18"/>
      <c r="E32" s="18">
        <f t="shared" si="2"/>
        <v>13779.625989661083</v>
      </c>
      <c r="F32" s="19">
        <f t="shared" si="0"/>
        <v>3.3372859471507157E-2</v>
      </c>
      <c r="G32" s="20">
        <v>592</v>
      </c>
      <c r="H32" s="21">
        <f t="shared" si="3"/>
        <v>7.7893028661652165E-3</v>
      </c>
    </row>
    <row r="33" spans="1:8" x14ac:dyDescent="0.25">
      <c r="A33" s="6" t="s">
        <v>11</v>
      </c>
      <c r="B33" s="23">
        <v>1188.7962001363633</v>
      </c>
      <c r="C33" s="18">
        <f t="shared" si="1"/>
        <v>3265.6766824999891</v>
      </c>
      <c r="D33" s="18"/>
      <c r="E33" s="18">
        <f t="shared" si="2"/>
        <v>4454.4728826363526</v>
      </c>
      <c r="F33" s="19">
        <f t="shared" si="0"/>
        <v>1.0788282471774019E-2</v>
      </c>
      <c r="G33" s="20">
        <v>1022</v>
      </c>
      <c r="H33" s="21">
        <f t="shared" si="3"/>
        <v>1.3447073529089276E-2</v>
      </c>
    </row>
    <row r="34" spans="1:8" x14ac:dyDescent="0.25">
      <c r="A34" s="6" t="s">
        <v>41</v>
      </c>
      <c r="B34" s="22">
        <v>1188.7962001363633</v>
      </c>
      <c r="C34" s="18">
        <f t="shared" si="1"/>
        <v>501.67440230185741</v>
      </c>
      <c r="D34" s="18"/>
      <c r="E34" s="18">
        <f t="shared" si="2"/>
        <v>1690.4706024382208</v>
      </c>
      <c r="F34" s="19">
        <f t="shared" si="0"/>
        <v>4.0941487017291944E-3</v>
      </c>
      <c r="G34" s="20">
        <v>157</v>
      </c>
      <c r="H34" s="21">
        <f t="shared" si="3"/>
        <v>2.0657441722769241E-3</v>
      </c>
    </row>
    <row r="35" spans="1:8" x14ac:dyDescent="0.25">
      <c r="A35" s="6" t="s">
        <v>39</v>
      </c>
      <c r="B35" s="22">
        <v>1188.7962001363633</v>
      </c>
      <c r="C35" s="18">
        <f t="shared" si="1"/>
        <v>428.18070005381463</v>
      </c>
      <c r="D35" s="18"/>
      <c r="E35" s="18">
        <f t="shared" si="2"/>
        <v>1616.976900190178</v>
      </c>
      <c r="F35" s="19">
        <f t="shared" si="0"/>
        <v>3.9161543933927418E-3</v>
      </c>
      <c r="G35" s="20">
        <v>134</v>
      </c>
      <c r="H35" s="21">
        <f t="shared" si="3"/>
        <v>1.7631192298414511E-3</v>
      </c>
    </row>
    <row r="36" spans="1:8" x14ac:dyDescent="0.25">
      <c r="A36" s="6" t="s">
        <v>40</v>
      </c>
      <c r="B36" s="22">
        <v>1188.7962001363633</v>
      </c>
      <c r="C36" s="18">
        <f t="shared" si="1"/>
        <v>201.30883659246507</v>
      </c>
      <c r="D36" s="18"/>
      <c r="E36" s="18">
        <f t="shared" si="2"/>
        <v>1390.1050367288283</v>
      </c>
      <c r="F36" s="19">
        <f t="shared" si="0"/>
        <v>3.3666937024410854E-3</v>
      </c>
      <c r="G36" s="20">
        <v>63</v>
      </c>
      <c r="H36" s="21">
        <f t="shared" si="3"/>
        <v>8.2892919014933893E-4</v>
      </c>
    </row>
    <row r="37" spans="1:8" ht="16.5" thickBot="1" x14ac:dyDescent="0.3">
      <c r="A37" s="24" t="s">
        <v>17</v>
      </c>
      <c r="B37" s="25">
        <v>0</v>
      </c>
      <c r="C37" s="26">
        <f t="shared" si="1"/>
        <v>239.65337689579175</v>
      </c>
      <c r="D37" s="26"/>
      <c r="E37" s="26">
        <f t="shared" si="2"/>
        <v>239.65337689579175</v>
      </c>
      <c r="F37" s="27">
        <f t="shared" si="0"/>
        <v>5.8041622283625644E-4</v>
      </c>
      <c r="G37" s="28">
        <v>75</v>
      </c>
      <c r="H37" s="21">
        <f t="shared" si="3"/>
        <v>9.8682046446349871E-4</v>
      </c>
    </row>
    <row r="38" spans="1:8" x14ac:dyDescent="0.25">
      <c r="B38" s="16">
        <f>SUM(B12:B37)</f>
        <v>130767.58201499995</v>
      </c>
      <c r="C38" s="16">
        <f>SUM(C12:C37)</f>
        <v>242854.08088500003</v>
      </c>
      <c r="D38" s="16"/>
      <c r="E38" s="16">
        <f>SUM(E12:E37)</f>
        <v>412899.17039999989</v>
      </c>
      <c r="F38" s="19">
        <f>SUM(F12:F37)</f>
        <v>1.0000000000000002</v>
      </c>
      <c r="G38" s="29">
        <f>SUM(G12:G37)</f>
        <v>76001.666666666657</v>
      </c>
      <c r="H38" s="30">
        <f>SUM(H12:H37)</f>
        <v>1</v>
      </c>
    </row>
    <row r="40" spans="1:8" x14ac:dyDescent="0.25">
      <c r="B40" s="18"/>
      <c r="G40" s="29">
        <f>G38-76001</f>
        <v>0.66666666665696539</v>
      </c>
    </row>
    <row r="41" spans="1:8" x14ac:dyDescent="0.25">
      <c r="H41" s="3" t="s">
        <v>35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5051F-2090-478D-A908-C908AFBE93A8}">
  <dimension ref="A1:J42"/>
  <sheetViews>
    <sheetView topLeftCell="A11" workbookViewId="0">
      <selection activeCell="B39" sqref="B39:C39"/>
    </sheetView>
  </sheetViews>
  <sheetFormatPr defaultRowHeight="15.75" x14ac:dyDescent="0.25"/>
  <cols>
    <col min="1" max="1" width="58.140625" style="6" customWidth="1"/>
    <col min="2" max="2" width="15.85546875" style="3" bestFit="1" customWidth="1"/>
    <col min="3" max="3" width="17.5703125" style="3" bestFit="1" customWidth="1"/>
    <col min="4" max="4" width="15.85546875" style="3" bestFit="1" customWidth="1"/>
    <col min="5" max="5" width="16" style="3" bestFit="1" customWidth="1"/>
    <col min="6" max="6" width="11" style="3" bestFit="1" customWidth="1"/>
    <col min="7" max="7" width="12" style="3" customWidth="1"/>
    <col min="8" max="9" width="9.140625" style="3"/>
    <col min="10" max="10" width="13.140625" style="3" bestFit="1" customWidth="1"/>
    <col min="11" max="11" width="9.140625" style="3"/>
    <col min="12" max="15" width="9.42578125" style="3" bestFit="1" customWidth="1"/>
    <col min="16" max="16384" width="9.140625" style="3"/>
  </cols>
  <sheetData>
    <row r="1" spans="1:10" ht="21" x14ac:dyDescent="0.35">
      <c r="A1" s="45" t="s">
        <v>65</v>
      </c>
      <c r="B1" s="46"/>
      <c r="C1" s="46"/>
      <c r="D1" s="46"/>
      <c r="E1" s="46"/>
      <c r="F1" s="46"/>
    </row>
    <row r="2" spans="1:10" ht="21" x14ac:dyDescent="0.35">
      <c r="A2" s="47" t="s">
        <v>0</v>
      </c>
      <c r="B2" s="48"/>
      <c r="C2" s="48"/>
      <c r="D2" s="48"/>
      <c r="E2" s="48"/>
      <c r="F2" s="48"/>
    </row>
    <row r="3" spans="1:10" x14ac:dyDescent="0.25">
      <c r="A3" s="1" t="s">
        <v>1</v>
      </c>
      <c r="B3" s="2">
        <v>2025</v>
      </c>
      <c r="C3" s="2">
        <v>2026</v>
      </c>
      <c r="D3"/>
      <c r="E3"/>
      <c r="F3"/>
    </row>
    <row r="4" spans="1:10" x14ac:dyDescent="0.25">
      <c r="A4" s="4" t="s">
        <v>55</v>
      </c>
      <c r="B4" s="40">
        <f>((7512*6)+((7512*1.05)*2))*0.7</f>
        <v>42593.039999999994</v>
      </c>
      <c r="C4" s="40">
        <f>(((7151*1.05)*1.0775)*12)*0.7</f>
        <v>67959.886049999986</v>
      </c>
      <c r="D4"/>
      <c r="E4"/>
      <c r="F4"/>
    </row>
    <row r="5" spans="1:10" x14ac:dyDescent="0.25">
      <c r="A5" s="4" t="s">
        <v>56</v>
      </c>
      <c r="B5" s="5">
        <f>(31652)*0.7</f>
        <v>22156.399999999998</v>
      </c>
      <c r="C5" s="5">
        <f>(38982)*0.7</f>
        <v>27287.399999999998</v>
      </c>
      <c r="D5"/>
      <c r="E5"/>
      <c r="F5"/>
    </row>
    <row r="6" spans="1:10" ht="16.5" thickBot="1" x14ac:dyDescent="0.3">
      <c r="J6" s="18">
        <f>B4*0.0765</f>
        <v>3258.3675599999992</v>
      </c>
    </row>
    <row r="7" spans="1:10" ht="16.5" thickBot="1" x14ac:dyDescent="0.3">
      <c r="A7" s="7" t="s">
        <v>29</v>
      </c>
      <c r="B7" s="8">
        <f>B4+B5</f>
        <v>64749.439999999988</v>
      </c>
      <c r="J7" s="18">
        <f>B4*0.0932</f>
        <v>3969.6713279999994</v>
      </c>
    </row>
    <row r="8" spans="1:10" ht="16.5" thickBot="1" x14ac:dyDescent="0.3">
      <c r="A8" s="31" t="s">
        <v>33</v>
      </c>
      <c r="B8" s="32">
        <f>SUM(B7:B7)</f>
        <v>64749.439999999988</v>
      </c>
    </row>
    <row r="9" spans="1:10" x14ac:dyDescent="0.25">
      <c r="B9" s="12"/>
      <c r="C9" s="12"/>
    </row>
    <row r="10" spans="1:10" x14ac:dyDescent="0.25">
      <c r="B10" s="12"/>
      <c r="C10" s="12"/>
    </row>
    <row r="11" spans="1:10" ht="47.25" x14ac:dyDescent="0.25">
      <c r="A11" s="13" t="s">
        <v>42</v>
      </c>
      <c r="B11" s="14" t="s">
        <v>14</v>
      </c>
      <c r="C11" s="14" t="s">
        <v>20</v>
      </c>
      <c r="D11" s="14" t="s">
        <v>16</v>
      </c>
      <c r="E11" s="15" t="s">
        <v>36</v>
      </c>
      <c r="F11" s="15" t="s">
        <v>37</v>
      </c>
      <c r="G11" s="15" t="s">
        <v>38</v>
      </c>
    </row>
    <row r="12" spans="1:10" x14ac:dyDescent="0.25">
      <c r="B12" s="16">
        <f>B7/2</f>
        <v>32374.719999999994</v>
      </c>
      <c r="C12" s="16">
        <f>B7/2</f>
        <v>32374.719999999994</v>
      </c>
    </row>
    <row r="13" spans="1:10" x14ac:dyDescent="0.25">
      <c r="A13" s="6" t="s">
        <v>12</v>
      </c>
      <c r="B13" s="18">
        <f>B12/11</f>
        <v>2943.156363636363</v>
      </c>
      <c r="C13" s="18">
        <f t="shared" ref="C13:C39" si="0">$C$12*G13</f>
        <v>10490.03120177189</v>
      </c>
      <c r="D13" s="18">
        <f>B13+C13</f>
        <v>13433.187565408252</v>
      </c>
      <c r="E13" s="19">
        <f t="shared" ref="E13:E38" si="1">D13/$D$39</f>
        <v>0.20746415050706621</v>
      </c>
      <c r="F13" s="20">
        <v>24626</v>
      </c>
      <c r="G13" s="21">
        <v>0.32401921010504159</v>
      </c>
    </row>
    <row r="14" spans="1:10" x14ac:dyDescent="0.25">
      <c r="A14" s="6" t="s">
        <v>3</v>
      </c>
      <c r="B14" s="18">
        <v>2943.156363636363</v>
      </c>
      <c r="C14" s="18">
        <f t="shared" si="0"/>
        <v>3201.6192037893902</v>
      </c>
      <c r="D14" s="18">
        <f t="shared" ref="D14:D38" si="2">B14+C14</f>
        <v>6144.7755674257533</v>
      </c>
      <c r="E14" s="19">
        <f t="shared" si="1"/>
        <v>9.4900829527263156E-2</v>
      </c>
      <c r="F14" s="20">
        <v>7516</v>
      </c>
      <c r="G14" s="21">
        <v>9.8892568145435414E-2</v>
      </c>
    </row>
    <row r="15" spans="1:10" x14ac:dyDescent="0.25">
      <c r="A15" s="6" t="s">
        <v>13</v>
      </c>
      <c r="B15" s="22">
        <v>2943.156363636363</v>
      </c>
      <c r="C15" s="18">
        <f t="shared" si="0"/>
        <v>1356.7266051183087</v>
      </c>
      <c r="D15" s="18">
        <f t="shared" si="2"/>
        <v>4299.8829687546713</v>
      </c>
      <c r="E15" s="19">
        <f t="shared" si="1"/>
        <v>6.6408033316653722E-2</v>
      </c>
      <c r="F15" s="20">
        <v>3185</v>
      </c>
      <c r="G15" s="21">
        <v>4.1906975724216582E-2</v>
      </c>
    </row>
    <row r="16" spans="1:10" x14ac:dyDescent="0.25">
      <c r="A16" s="6" t="s">
        <v>15</v>
      </c>
      <c r="B16" s="22">
        <v>0</v>
      </c>
      <c r="C16" s="18">
        <f t="shared" si="0"/>
        <v>95.844108681827151</v>
      </c>
      <c r="D16" s="18">
        <f t="shared" si="2"/>
        <v>95.844108681827151</v>
      </c>
      <c r="E16" s="19">
        <f t="shared" si="1"/>
        <v>1.4802306966952481E-3</v>
      </c>
      <c r="F16" s="20">
        <v>225</v>
      </c>
      <c r="G16" s="21">
        <v>2.9604613933904961E-3</v>
      </c>
    </row>
    <row r="17" spans="1:7" x14ac:dyDescent="0.25">
      <c r="A17" s="6" t="s">
        <v>2</v>
      </c>
      <c r="B17" s="22">
        <v>2943.156363636363</v>
      </c>
      <c r="C17" s="18">
        <f t="shared" si="0"/>
        <v>3855.9149857239972</v>
      </c>
      <c r="D17" s="18">
        <f t="shared" si="2"/>
        <v>6799.0713493603598</v>
      </c>
      <c r="E17" s="19">
        <f t="shared" si="1"/>
        <v>0.10500587108336938</v>
      </c>
      <c r="F17" s="20">
        <v>9052</v>
      </c>
      <c r="G17" s="21">
        <v>0.11910265125764788</v>
      </c>
    </row>
    <row r="18" spans="1:7" x14ac:dyDescent="0.25">
      <c r="A18" s="6" t="s">
        <v>4</v>
      </c>
      <c r="B18" s="22">
        <f>B17/10</f>
        <v>294.31563636363632</v>
      </c>
      <c r="C18" s="18">
        <f t="shared" si="0"/>
        <v>815.31388452007627</v>
      </c>
      <c r="D18" s="18">
        <f t="shared" si="2"/>
        <v>1109.6295208837125</v>
      </c>
      <c r="E18" s="19">
        <f t="shared" si="1"/>
        <v>1.7137283672008785E-2</v>
      </c>
      <c r="F18" s="20">
        <v>1914</v>
      </c>
      <c r="G18" s="21">
        <v>2.5183658253108487E-2</v>
      </c>
    </row>
    <row r="19" spans="1:7" x14ac:dyDescent="0.25">
      <c r="A19" s="6" t="s">
        <v>18</v>
      </c>
      <c r="B19" s="22">
        <v>0</v>
      </c>
      <c r="C19" s="18">
        <f t="shared" si="0"/>
        <v>15.193066116971117</v>
      </c>
      <c r="D19" s="18">
        <f t="shared" si="2"/>
        <v>15.193066116971117</v>
      </c>
      <c r="E19" s="19">
        <f t="shared" si="1"/>
        <v>2.346439771057652E-4</v>
      </c>
      <c r="F19" s="20">
        <v>35.666666666666664</v>
      </c>
      <c r="G19" s="21">
        <v>4.6928795421153046E-4</v>
      </c>
    </row>
    <row r="20" spans="1:7" ht="31.5" x14ac:dyDescent="0.25">
      <c r="A20" s="6" t="s">
        <v>28</v>
      </c>
      <c r="B20" s="22">
        <v>2943.156363636363</v>
      </c>
      <c r="C20" s="18">
        <f t="shared" si="0"/>
        <v>297.75569763820965</v>
      </c>
      <c r="D20" s="18">
        <f t="shared" si="2"/>
        <v>3240.9120612745728</v>
      </c>
      <c r="E20" s="19">
        <f t="shared" si="1"/>
        <v>5.0053128818945351E-2</v>
      </c>
      <c r="F20" s="20">
        <v>699</v>
      </c>
      <c r="G20" s="21">
        <v>9.1971667287998084E-3</v>
      </c>
    </row>
    <row r="21" spans="1:7" x14ac:dyDescent="0.25">
      <c r="A21" s="6" t="s">
        <v>24</v>
      </c>
      <c r="B21" s="22">
        <v>294.31563636363632</v>
      </c>
      <c r="C21" s="18">
        <f>$C$12*G21</f>
        <v>20.446743185456459</v>
      </c>
      <c r="D21" s="18">
        <f>B21+C21</f>
        <v>314.76237954909277</v>
      </c>
      <c r="E21" s="19">
        <f t="shared" si="1"/>
        <v>4.8612370940828648E-3</v>
      </c>
      <c r="F21" s="20">
        <v>7412</v>
      </c>
      <c r="G21" s="21">
        <v>6.3156509725663921E-4</v>
      </c>
    </row>
    <row r="22" spans="1:7" x14ac:dyDescent="0.25">
      <c r="A22" s="6" t="s">
        <v>23</v>
      </c>
      <c r="B22" s="22">
        <v>294.31563636363632</v>
      </c>
      <c r="C22" s="18">
        <f t="shared" si="0"/>
        <v>3157.3179268875679</v>
      </c>
      <c r="D22" s="18">
        <f t="shared" si="2"/>
        <v>3451.6335632512041</v>
      </c>
      <c r="E22" s="19">
        <f t="shared" si="1"/>
        <v>5.3307543096144216E-2</v>
      </c>
      <c r="F22" s="20">
        <v>48</v>
      </c>
      <c r="G22" s="21">
        <v>9.7524177101379367E-2</v>
      </c>
    </row>
    <row r="23" spans="1:7" x14ac:dyDescent="0.25">
      <c r="A23" s="6" t="s">
        <v>25</v>
      </c>
      <c r="B23" s="22">
        <v>294.31563636363632</v>
      </c>
      <c r="C23" s="18">
        <f t="shared" si="0"/>
        <v>360.3738486436701</v>
      </c>
      <c r="D23" s="18">
        <f t="shared" si="2"/>
        <v>654.68948500730642</v>
      </c>
      <c r="E23" s="19">
        <f t="shared" si="1"/>
        <v>1.0111121965028677E-2</v>
      </c>
      <c r="F23" s="20">
        <v>846</v>
      </c>
      <c r="G23" s="21">
        <v>1.1131334839148266E-2</v>
      </c>
    </row>
    <row r="24" spans="1:7" x14ac:dyDescent="0.25">
      <c r="A24" s="6" t="s">
        <v>22</v>
      </c>
      <c r="B24" s="22">
        <v>294.31563636363632</v>
      </c>
      <c r="C24" s="18">
        <f t="shared" si="0"/>
        <v>38.337643472730861</v>
      </c>
      <c r="D24" s="18">
        <f t="shared" si="2"/>
        <v>332.65327983636718</v>
      </c>
      <c r="E24" s="19">
        <f t="shared" si="1"/>
        <v>5.1375468241326439E-3</v>
      </c>
      <c r="F24" s="20">
        <v>90</v>
      </c>
      <c r="G24" s="21">
        <v>1.1841845573561985E-3</v>
      </c>
    </row>
    <row r="25" spans="1:7" x14ac:dyDescent="0.25">
      <c r="A25" s="6" t="s">
        <v>26</v>
      </c>
      <c r="B25" s="22">
        <v>2943.156363636363</v>
      </c>
      <c r="C25" s="18">
        <f t="shared" si="0"/>
        <v>559.7295947018705</v>
      </c>
      <c r="D25" s="18">
        <f t="shared" si="2"/>
        <v>3502.8859583382336</v>
      </c>
      <c r="E25" s="19">
        <f t="shared" si="1"/>
        <v>5.4099092723245701E-2</v>
      </c>
      <c r="F25" s="20">
        <v>1314</v>
      </c>
      <c r="G25" s="21">
        <v>1.7289094537400497E-2</v>
      </c>
    </row>
    <row r="26" spans="1:7" x14ac:dyDescent="0.25">
      <c r="A26" s="6" t="s">
        <v>27</v>
      </c>
      <c r="B26" s="22">
        <v>294.31563636363632</v>
      </c>
      <c r="C26" s="18">
        <f t="shared" si="0"/>
        <v>77.953208394552746</v>
      </c>
      <c r="D26" s="18">
        <f t="shared" si="2"/>
        <v>372.26884475818906</v>
      </c>
      <c r="E26" s="19">
        <f t="shared" si="1"/>
        <v>5.7493755121000136E-3</v>
      </c>
      <c r="F26" s="20">
        <v>183</v>
      </c>
      <c r="G26" s="21">
        <v>2.4078419332909367E-3</v>
      </c>
    </row>
    <row r="27" spans="1:7" x14ac:dyDescent="0.25">
      <c r="A27" s="6" t="s">
        <v>5</v>
      </c>
      <c r="B27" s="22">
        <v>0</v>
      </c>
      <c r="C27" s="18">
        <f t="shared" si="0"/>
        <v>32.374010043639394</v>
      </c>
      <c r="D27" s="18">
        <f t="shared" si="2"/>
        <v>32.374010043639394</v>
      </c>
      <c r="E27" s="19">
        <f t="shared" si="1"/>
        <v>4.9998903532817262E-4</v>
      </c>
      <c r="F27" s="20">
        <v>76</v>
      </c>
      <c r="G27" s="21">
        <v>9.9997807065634547E-4</v>
      </c>
    </row>
    <row r="28" spans="1:7" x14ac:dyDescent="0.25">
      <c r="A28" s="6" t="s">
        <v>6</v>
      </c>
      <c r="B28" s="22">
        <v>2943.156363636363</v>
      </c>
      <c r="C28" s="18">
        <f t="shared" si="0"/>
        <v>2313.4637966711257</v>
      </c>
      <c r="D28" s="18">
        <f t="shared" si="2"/>
        <v>5256.6201603074887</v>
      </c>
      <c r="E28" s="19">
        <f t="shared" si="1"/>
        <v>8.1184025071220522E-2</v>
      </c>
      <c r="F28" s="20">
        <v>5431</v>
      </c>
      <c r="G28" s="21">
        <v>7.1458959233350161E-2</v>
      </c>
    </row>
    <row r="29" spans="1:7" x14ac:dyDescent="0.25">
      <c r="A29" s="6" t="s">
        <v>19</v>
      </c>
      <c r="B29" s="22">
        <v>0</v>
      </c>
      <c r="C29" s="18">
        <f t="shared" si="0"/>
        <v>23.428559900002192</v>
      </c>
      <c r="D29" s="18">
        <f t="shared" si="2"/>
        <v>23.428559900002192</v>
      </c>
      <c r="E29" s="19">
        <f t="shared" si="1"/>
        <v>3.6183417030328282E-4</v>
      </c>
      <c r="F29" s="20">
        <v>55</v>
      </c>
      <c r="G29" s="21">
        <v>7.2366834060656575E-4</v>
      </c>
    </row>
    <row r="30" spans="1:7" x14ac:dyDescent="0.25">
      <c r="A30" s="6" t="s">
        <v>7</v>
      </c>
      <c r="B30" s="22">
        <v>2943.156363636363</v>
      </c>
      <c r="C30" s="18">
        <f t="shared" si="0"/>
        <v>47.709067432731736</v>
      </c>
      <c r="D30" s="18">
        <f t="shared" si="2"/>
        <v>2990.8654310690949</v>
      </c>
      <c r="E30" s="19">
        <f t="shared" si="1"/>
        <v>4.6191371401344862E-2</v>
      </c>
      <c r="F30" s="20">
        <v>112</v>
      </c>
      <c r="G30" s="21">
        <v>1.4736518935988248E-3</v>
      </c>
    </row>
    <row r="31" spans="1:7" x14ac:dyDescent="0.25">
      <c r="A31" s="6" t="s">
        <v>8</v>
      </c>
      <c r="B31" s="22">
        <v>2943.156363636363</v>
      </c>
      <c r="C31" s="18">
        <f t="shared" si="0"/>
        <v>4660.5795248349814</v>
      </c>
      <c r="D31" s="18">
        <f t="shared" si="2"/>
        <v>7603.7358884713449</v>
      </c>
      <c r="E31" s="19">
        <f t="shared" si="1"/>
        <v>0.11743323013251304</v>
      </c>
      <c r="F31" s="20">
        <v>10941</v>
      </c>
      <c r="G31" s="21">
        <v>0.1439573693559352</v>
      </c>
    </row>
    <row r="32" spans="1:7" x14ac:dyDescent="0.25">
      <c r="A32" s="6" t="s">
        <v>9</v>
      </c>
      <c r="B32" s="22">
        <v>0</v>
      </c>
      <c r="C32" s="18">
        <f t="shared" si="0"/>
        <v>84.342815640007885</v>
      </c>
      <c r="D32" s="18">
        <f t="shared" si="2"/>
        <v>84.342815640007885</v>
      </c>
      <c r="E32" s="19">
        <f t="shared" si="1"/>
        <v>1.302603013091818E-3</v>
      </c>
      <c r="F32" s="20">
        <v>198</v>
      </c>
      <c r="G32" s="21">
        <v>2.6052060261836365E-3</v>
      </c>
    </row>
    <row r="33" spans="1:7" x14ac:dyDescent="0.25">
      <c r="A33" s="6" t="s">
        <v>10</v>
      </c>
      <c r="B33" s="22">
        <v>2943.156363636363</v>
      </c>
      <c r="C33" s="18">
        <f t="shared" si="0"/>
        <v>252.17649928729631</v>
      </c>
      <c r="D33" s="18">
        <f t="shared" si="2"/>
        <v>3195.3328629236594</v>
      </c>
      <c r="E33" s="19">
        <f t="shared" si="1"/>
        <v>4.9349196887628059E-2</v>
      </c>
      <c r="F33" s="20">
        <v>592</v>
      </c>
      <c r="G33" s="21">
        <v>7.7893028661652165E-3</v>
      </c>
    </row>
    <row r="34" spans="1:7" x14ac:dyDescent="0.25">
      <c r="A34" s="6" t="s">
        <v>11</v>
      </c>
      <c r="B34" s="23">
        <v>294.31563636363632</v>
      </c>
      <c r="C34" s="18">
        <f t="shared" si="0"/>
        <v>435.3452403236771</v>
      </c>
      <c r="D34" s="18">
        <f t="shared" si="2"/>
        <v>729.66087668731348</v>
      </c>
      <c r="E34" s="19">
        <f t="shared" si="1"/>
        <v>1.1268991309999183E-2</v>
      </c>
      <c r="F34" s="20">
        <v>1022</v>
      </c>
      <c r="G34" s="21">
        <v>1.3447073529089276E-2</v>
      </c>
    </row>
    <row r="35" spans="1:7" x14ac:dyDescent="0.25">
      <c r="A35" s="6" t="s">
        <v>41</v>
      </c>
      <c r="B35" s="22">
        <v>294.31563636363632</v>
      </c>
      <c r="C35" s="18">
        <f t="shared" si="0"/>
        <v>66.877889169097173</v>
      </c>
      <c r="D35" s="18">
        <f t="shared" si="2"/>
        <v>361.19352553273347</v>
      </c>
      <c r="E35" s="19">
        <f t="shared" si="1"/>
        <v>5.5783266315930068E-3</v>
      </c>
      <c r="F35" s="20">
        <v>157</v>
      </c>
      <c r="G35" s="21">
        <v>2.0657441722769241E-3</v>
      </c>
    </row>
    <row r="36" spans="1:7" x14ac:dyDescent="0.25">
      <c r="A36" s="6" t="s">
        <v>39</v>
      </c>
      <c r="B36" s="22">
        <v>294.31563636363632</v>
      </c>
      <c r="C36" s="18">
        <f t="shared" si="0"/>
        <v>57.080491392732611</v>
      </c>
      <c r="D36" s="18">
        <f t="shared" si="2"/>
        <v>351.39612775636891</v>
      </c>
      <c r="E36" s="19">
        <f t="shared" si="1"/>
        <v>5.4270141603752703E-3</v>
      </c>
      <c r="F36" s="20">
        <v>134</v>
      </c>
      <c r="G36" s="21">
        <v>1.7631192298414511E-3</v>
      </c>
    </row>
    <row r="37" spans="1:7" x14ac:dyDescent="0.25">
      <c r="A37" s="6" t="s">
        <v>40</v>
      </c>
      <c r="B37" s="22">
        <v>294.31563636363632</v>
      </c>
      <c r="C37" s="18">
        <f t="shared" si="0"/>
        <v>26.836350430911601</v>
      </c>
      <c r="D37" s="18">
        <f t="shared" si="2"/>
        <v>321.15198679454789</v>
      </c>
      <c r="E37" s="19">
        <f t="shared" si="1"/>
        <v>4.9599191405292143E-3</v>
      </c>
      <c r="F37" s="20">
        <v>63</v>
      </c>
      <c r="G37" s="21">
        <v>8.2892919014933893E-4</v>
      </c>
    </row>
    <row r="38" spans="1:7" ht="16.5" thickBot="1" x14ac:dyDescent="0.3">
      <c r="A38" s="24" t="s">
        <v>17</v>
      </c>
      <c r="B38" s="25">
        <v>0</v>
      </c>
      <c r="C38" s="26">
        <f t="shared" si="0"/>
        <v>31.948036227275715</v>
      </c>
      <c r="D38" s="26">
        <f t="shared" si="2"/>
        <v>31.948036227275715</v>
      </c>
      <c r="E38" s="27">
        <f t="shared" si="1"/>
        <v>4.9341023223174925E-4</v>
      </c>
      <c r="F38" s="28">
        <v>75</v>
      </c>
      <c r="G38" s="21">
        <v>9.8682046446349871E-4</v>
      </c>
    </row>
    <row r="39" spans="1:7" x14ac:dyDescent="0.25">
      <c r="B39" s="16">
        <f>SUM(B13:B38)</f>
        <v>32374.720000000008</v>
      </c>
      <c r="C39" s="16">
        <f t="shared" si="0"/>
        <v>32374.719999999994</v>
      </c>
      <c r="D39" s="16">
        <f>SUM(D13:D38)</f>
        <v>64749.439999999995</v>
      </c>
      <c r="E39" s="19">
        <f>SUM(E13:E38)</f>
        <v>0.99999999999999978</v>
      </c>
      <c r="F39" s="29">
        <f>SUM(F13:F38)</f>
        <v>76001.666666666657</v>
      </c>
      <c r="G39" s="30">
        <f>SUM(G13:G38)</f>
        <v>1</v>
      </c>
    </row>
    <row r="41" spans="1:7" x14ac:dyDescent="0.25">
      <c r="F41" s="29">
        <f>F39-76001</f>
        <v>0.66666666665696539</v>
      </c>
    </row>
    <row r="42" spans="1:7" x14ac:dyDescent="0.25">
      <c r="B42" s="18">
        <f>B39-B12</f>
        <v>0</v>
      </c>
      <c r="G42" s="3" t="s">
        <v>35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E5F42-FBAE-43CF-AE76-AE6571133AE0}">
  <dimension ref="A1:J42"/>
  <sheetViews>
    <sheetView workbookViewId="0">
      <selection activeCell="B12" sqref="B12:C12"/>
    </sheetView>
  </sheetViews>
  <sheetFormatPr defaultRowHeight="15.75" x14ac:dyDescent="0.25"/>
  <cols>
    <col min="1" max="1" width="58.140625" style="6" customWidth="1"/>
    <col min="2" max="2" width="15.85546875" style="3" bestFit="1" customWidth="1"/>
    <col min="3" max="3" width="17.5703125" style="3" bestFit="1" customWidth="1"/>
    <col min="4" max="4" width="15.85546875" style="3" bestFit="1" customWidth="1"/>
    <col min="5" max="5" width="16" style="3" bestFit="1" customWidth="1"/>
    <col min="6" max="6" width="11" style="3" bestFit="1" customWidth="1"/>
    <col min="7" max="7" width="12" style="3" customWidth="1"/>
    <col min="8" max="9" width="9.140625" style="3"/>
    <col min="10" max="10" width="13.140625" style="3" bestFit="1" customWidth="1"/>
    <col min="11" max="11" width="9.140625" style="3"/>
    <col min="12" max="15" width="9.42578125" style="3" bestFit="1" customWidth="1"/>
    <col min="16" max="16384" width="9.140625" style="3"/>
  </cols>
  <sheetData>
    <row r="1" spans="1:10" ht="21" x14ac:dyDescent="0.35">
      <c r="A1" s="45" t="s">
        <v>64</v>
      </c>
      <c r="B1" s="46"/>
      <c r="C1" s="46"/>
      <c r="D1" s="46"/>
      <c r="E1" s="46"/>
      <c r="F1" s="46"/>
    </row>
    <row r="2" spans="1:10" ht="21" x14ac:dyDescent="0.35">
      <c r="A2" s="47" t="s">
        <v>0</v>
      </c>
      <c r="B2" s="48"/>
      <c r="C2" s="48"/>
      <c r="D2" s="48"/>
      <c r="E2" s="48"/>
      <c r="F2" s="48"/>
    </row>
    <row r="3" spans="1:10" x14ac:dyDescent="0.25">
      <c r="A3" s="1" t="s">
        <v>1</v>
      </c>
      <c r="B3" s="2">
        <v>2025</v>
      </c>
      <c r="C3" s="2">
        <v>2026</v>
      </c>
      <c r="D3"/>
      <c r="E3"/>
      <c r="F3"/>
    </row>
    <row r="4" spans="1:10" x14ac:dyDescent="0.25">
      <c r="A4" s="4" t="s">
        <v>55</v>
      </c>
      <c r="B4" s="40">
        <f>((7512*6)+((7512*1.05)*2))*0.7</f>
        <v>42593.039999999994</v>
      </c>
      <c r="C4" s="40">
        <f>(((7151*1.05)*1.0775)*12)*0.7</f>
        <v>67959.886049999986</v>
      </c>
      <c r="D4"/>
      <c r="E4"/>
      <c r="F4"/>
    </row>
    <row r="5" spans="1:10" x14ac:dyDescent="0.25">
      <c r="A5" s="4" t="s">
        <v>56</v>
      </c>
      <c r="B5" s="5">
        <f>(31652)*0.7</f>
        <v>22156.399999999998</v>
      </c>
      <c r="C5" s="5">
        <f>(38982)*0.7</f>
        <v>27287.399999999998</v>
      </c>
      <c r="D5"/>
      <c r="E5"/>
      <c r="F5"/>
    </row>
    <row r="6" spans="1:10" ht="16.5" thickBot="1" x14ac:dyDescent="0.3">
      <c r="J6" s="18"/>
    </row>
    <row r="7" spans="1:10" ht="16.5" thickBot="1" x14ac:dyDescent="0.3">
      <c r="A7" s="7" t="s">
        <v>29</v>
      </c>
      <c r="B7" s="8">
        <f>C4+C5</f>
        <v>95247.286049999981</v>
      </c>
      <c r="J7" s="18"/>
    </row>
    <row r="8" spans="1:10" ht="16.5" thickBot="1" x14ac:dyDescent="0.3">
      <c r="A8" s="31" t="s">
        <v>57</v>
      </c>
      <c r="B8" s="32">
        <f>SUM(B7:B7)</f>
        <v>95247.286049999981</v>
      </c>
    </row>
    <row r="9" spans="1:10" x14ac:dyDescent="0.25">
      <c r="B9" s="12"/>
      <c r="C9" s="12"/>
    </row>
    <row r="10" spans="1:10" x14ac:dyDescent="0.25">
      <c r="B10" s="12"/>
      <c r="C10" s="12"/>
    </row>
    <row r="11" spans="1:10" ht="47.25" x14ac:dyDescent="0.25">
      <c r="A11" s="13" t="s">
        <v>42</v>
      </c>
      <c r="B11" s="14" t="s">
        <v>14</v>
      </c>
      <c r="C11" s="14" t="s">
        <v>20</v>
      </c>
      <c r="D11" s="14" t="s">
        <v>16</v>
      </c>
      <c r="E11" s="15" t="s">
        <v>36</v>
      </c>
      <c r="F11" s="15" t="s">
        <v>37</v>
      </c>
      <c r="G11" s="15" t="s">
        <v>38</v>
      </c>
    </row>
    <row r="12" spans="1:10" x14ac:dyDescent="0.25">
      <c r="B12" s="16">
        <f>B7/2</f>
        <v>47623.64302499999</v>
      </c>
      <c r="C12" s="16">
        <f>B7/2</f>
        <v>47623.64302499999</v>
      </c>
    </row>
    <row r="13" spans="1:10" x14ac:dyDescent="0.25">
      <c r="A13" s="6" t="s">
        <v>12</v>
      </c>
      <c r="B13" s="18">
        <f>B12/11</f>
        <v>4329.4220931818172</v>
      </c>
      <c r="C13" s="18">
        <f t="shared" ref="C13:C39" si="0">$C$12*G13</f>
        <v>15430.975195284971</v>
      </c>
      <c r="D13" s="18">
        <f>B13+C13</f>
        <v>19760.397288466789</v>
      </c>
      <c r="E13" s="19">
        <f t="shared" ref="E13:E38" si="1">D13/$D$39</f>
        <v>0.20746415050706629</v>
      </c>
      <c r="F13" s="20">
        <v>24626</v>
      </c>
      <c r="G13" s="21">
        <v>0.32401921010504159</v>
      </c>
    </row>
    <row r="14" spans="1:10" x14ac:dyDescent="0.25">
      <c r="A14" s="6" t="s">
        <v>3</v>
      </c>
      <c r="B14" s="18">
        <v>4329.4220931818172</v>
      </c>
      <c r="C14" s="18">
        <f t="shared" si="0"/>
        <v>4709.6243631837015</v>
      </c>
      <c r="D14" s="18">
        <f t="shared" ref="D14:D38" si="2">B14+C14</f>
        <v>9039.0464563655187</v>
      </c>
      <c r="E14" s="19">
        <f t="shared" si="1"/>
        <v>9.490082952726317E-2</v>
      </c>
      <c r="F14" s="20">
        <v>7516</v>
      </c>
      <c r="G14" s="21">
        <v>9.8892568145435414E-2</v>
      </c>
    </row>
    <row r="15" spans="1:10" x14ac:dyDescent="0.25">
      <c r="A15" s="6" t="s">
        <v>13</v>
      </c>
      <c r="B15" s="22">
        <v>4329.4220931818172</v>
      </c>
      <c r="C15" s="18">
        <f t="shared" si="0"/>
        <v>1995.762852147431</v>
      </c>
      <c r="D15" s="18">
        <f t="shared" si="2"/>
        <v>6325.184945329248</v>
      </c>
      <c r="E15" s="19">
        <f t="shared" si="1"/>
        <v>6.640803331665375E-2</v>
      </c>
      <c r="F15" s="20">
        <v>3185</v>
      </c>
      <c r="G15" s="21">
        <v>4.1906975724216582E-2</v>
      </c>
    </row>
    <row r="16" spans="1:10" x14ac:dyDescent="0.25">
      <c r="A16" s="6" t="s">
        <v>15</v>
      </c>
      <c r="B16" s="22">
        <v>0</v>
      </c>
      <c r="C16" s="18">
        <f t="shared" si="0"/>
        <v>140.98795658812304</v>
      </c>
      <c r="D16" s="18">
        <f t="shared" si="2"/>
        <v>140.98795658812304</v>
      </c>
      <c r="E16" s="19">
        <f t="shared" si="1"/>
        <v>1.4802306966952481E-3</v>
      </c>
      <c r="F16" s="20">
        <v>225</v>
      </c>
      <c r="G16" s="21">
        <v>2.9604613933904961E-3</v>
      </c>
    </row>
    <row r="17" spans="1:7" x14ac:dyDescent="0.25">
      <c r="A17" s="6" t="s">
        <v>2</v>
      </c>
      <c r="B17" s="22">
        <v>4329.4220931818172</v>
      </c>
      <c r="C17" s="18">
        <f t="shared" si="0"/>
        <v>5672.1021468252884</v>
      </c>
      <c r="D17" s="18">
        <f t="shared" si="2"/>
        <v>10001.524240007106</v>
      </c>
      <c r="E17" s="19">
        <f t="shared" si="1"/>
        <v>0.10500587108336941</v>
      </c>
      <c r="F17" s="20">
        <v>9052</v>
      </c>
      <c r="G17" s="21">
        <v>0.11910265125764788</v>
      </c>
    </row>
    <row r="18" spans="1:7" x14ac:dyDescent="0.25">
      <c r="A18" s="6" t="s">
        <v>4</v>
      </c>
      <c r="B18" s="22">
        <f>B17/10</f>
        <v>432.94220931818171</v>
      </c>
      <c r="C18" s="18">
        <f t="shared" si="0"/>
        <v>1199.3375507096334</v>
      </c>
      <c r="D18" s="18">
        <f t="shared" si="2"/>
        <v>1632.2797600278152</v>
      </c>
      <c r="E18" s="19">
        <f t="shared" si="1"/>
        <v>1.7137283672008792E-2</v>
      </c>
      <c r="F18" s="20">
        <v>1914</v>
      </c>
      <c r="G18" s="21">
        <v>2.5183658253108487E-2</v>
      </c>
    </row>
    <row r="19" spans="1:7" x14ac:dyDescent="0.25">
      <c r="A19" s="6" t="s">
        <v>18</v>
      </c>
      <c r="B19" s="22">
        <v>0</v>
      </c>
      <c r="C19" s="18">
        <f t="shared" si="0"/>
        <v>22.349202007302466</v>
      </c>
      <c r="D19" s="18">
        <f t="shared" si="2"/>
        <v>22.349202007302466</v>
      </c>
      <c r="E19" s="19">
        <f t="shared" si="1"/>
        <v>2.3464397710576526E-4</v>
      </c>
      <c r="F19" s="20">
        <v>35.666666666666664</v>
      </c>
      <c r="G19" s="21">
        <v>4.6928795421153046E-4</v>
      </c>
    </row>
    <row r="20" spans="1:7" ht="31.5" x14ac:dyDescent="0.25">
      <c r="A20" s="6" t="s">
        <v>28</v>
      </c>
      <c r="B20" s="22">
        <v>4329.4220931818172</v>
      </c>
      <c r="C20" s="18">
        <f t="shared" si="0"/>
        <v>438.00258513376895</v>
      </c>
      <c r="D20" s="18">
        <f t="shared" si="2"/>
        <v>4767.4246783155859</v>
      </c>
      <c r="E20" s="19">
        <f t="shared" si="1"/>
        <v>5.0053128818945365E-2</v>
      </c>
      <c r="F20" s="20">
        <v>699</v>
      </c>
      <c r="G20" s="21">
        <v>9.1971667287998084E-3</v>
      </c>
    </row>
    <row r="21" spans="1:7" x14ac:dyDescent="0.25">
      <c r="A21" s="6" t="s">
        <v>24</v>
      </c>
      <c r="B21" s="22">
        <v>432.94220931818171</v>
      </c>
      <c r="C21" s="18">
        <f>$C$12*G21</f>
        <v>30.077430738799588</v>
      </c>
      <c r="D21" s="18">
        <f>B21+C21</f>
        <v>463.0196400569813</v>
      </c>
      <c r="E21" s="19">
        <f t="shared" si="1"/>
        <v>4.8612370940828657E-3</v>
      </c>
      <c r="F21" s="20">
        <v>7412</v>
      </c>
      <c r="G21" s="21">
        <v>6.3156509725663921E-4</v>
      </c>
    </row>
    <row r="22" spans="1:7" x14ac:dyDescent="0.25">
      <c r="A22" s="6" t="s">
        <v>23</v>
      </c>
      <c r="B22" s="22">
        <v>432.94220931818171</v>
      </c>
      <c r="C22" s="18">
        <f t="shared" si="0"/>
        <v>4644.4565965829688</v>
      </c>
      <c r="D22" s="18">
        <f t="shared" si="2"/>
        <v>5077.3988059011508</v>
      </c>
      <c r="E22" s="19">
        <f t="shared" si="1"/>
        <v>5.3307543096144237E-2</v>
      </c>
      <c r="F22" s="20">
        <v>48</v>
      </c>
      <c r="G22" s="21">
        <v>9.7524177101379367E-2</v>
      </c>
    </row>
    <row r="23" spans="1:7" x14ac:dyDescent="0.25">
      <c r="A23" s="6" t="s">
        <v>25</v>
      </c>
      <c r="B23" s="22">
        <v>432.94220931818171</v>
      </c>
      <c r="C23" s="18">
        <f t="shared" si="0"/>
        <v>530.11471677134273</v>
      </c>
      <c r="D23" s="18">
        <f t="shared" si="2"/>
        <v>963.0569260895245</v>
      </c>
      <c r="E23" s="19">
        <f t="shared" si="1"/>
        <v>1.0111121965028681E-2</v>
      </c>
      <c r="F23" s="20">
        <v>846</v>
      </c>
      <c r="G23" s="21">
        <v>1.1131334839148266E-2</v>
      </c>
    </row>
    <row r="24" spans="1:7" x14ac:dyDescent="0.25">
      <c r="A24" s="6" t="s">
        <v>22</v>
      </c>
      <c r="B24" s="22">
        <v>432.94220931818171</v>
      </c>
      <c r="C24" s="18">
        <f t="shared" si="0"/>
        <v>56.395182635249228</v>
      </c>
      <c r="D24" s="18">
        <f t="shared" si="2"/>
        <v>489.33739195343094</v>
      </c>
      <c r="E24" s="19">
        <f t="shared" si="1"/>
        <v>5.1375468241326456E-3</v>
      </c>
      <c r="F24" s="20">
        <v>90</v>
      </c>
      <c r="G24" s="21">
        <v>1.1841845573561985E-3</v>
      </c>
    </row>
    <row r="25" spans="1:7" x14ac:dyDescent="0.25">
      <c r="A25" s="6" t="s">
        <v>26</v>
      </c>
      <c r="B25" s="22">
        <v>4329.4220931818172</v>
      </c>
      <c r="C25" s="18">
        <f t="shared" si="0"/>
        <v>823.36966647463862</v>
      </c>
      <c r="D25" s="18">
        <f t="shared" si="2"/>
        <v>5152.7917596564557</v>
      </c>
      <c r="E25" s="19">
        <f t="shared" si="1"/>
        <v>5.4099092723245708E-2</v>
      </c>
      <c r="F25" s="20">
        <v>1314</v>
      </c>
      <c r="G25" s="21">
        <v>1.7289094537400497E-2</v>
      </c>
    </row>
    <row r="26" spans="1:7" x14ac:dyDescent="0.25">
      <c r="A26" s="6" t="s">
        <v>27</v>
      </c>
      <c r="B26" s="22">
        <v>432.94220931818171</v>
      </c>
      <c r="C26" s="18">
        <f t="shared" si="0"/>
        <v>114.6702046916734</v>
      </c>
      <c r="D26" s="18">
        <f t="shared" si="2"/>
        <v>547.61241400985512</v>
      </c>
      <c r="E26" s="19">
        <f t="shared" si="1"/>
        <v>5.7493755121000144E-3</v>
      </c>
      <c r="F26" s="20">
        <v>183</v>
      </c>
      <c r="G26" s="21">
        <v>2.4078419332909367E-3</v>
      </c>
    </row>
    <row r="27" spans="1:7" x14ac:dyDescent="0.25">
      <c r="A27" s="6" t="s">
        <v>5</v>
      </c>
      <c r="B27" s="22">
        <v>0</v>
      </c>
      <c r="C27" s="18">
        <f t="shared" si="0"/>
        <v>47.622598669766013</v>
      </c>
      <c r="D27" s="18">
        <f t="shared" si="2"/>
        <v>47.622598669766013</v>
      </c>
      <c r="E27" s="19">
        <f t="shared" si="1"/>
        <v>4.9998903532817284E-4</v>
      </c>
      <c r="F27" s="20">
        <v>76</v>
      </c>
      <c r="G27" s="21">
        <v>9.9997807065634547E-4</v>
      </c>
    </row>
    <row r="28" spans="1:7" x14ac:dyDescent="0.25">
      <c r="A28" s="6" t="s">
        <v>6</v>
      </c>
      <c r="B28" s="22">
        <v>4329.4220931818172</v>
      </c>
      <c r="C28" s="18">
        <f t="shared" si="0"/>
        <v>3403.135965467095</v>
      </c>
      <c r="D28" s="18">
        <f t="shared" si="2"/>
        <v>7732.5580586489123</v>
      </c>
      <c r="E28" s="19">
        <f t="shared" si="1"/>
        <v>8.118402507122055E-2</v>
      </c>
      <c r="F28" s="20">
        <v>5431</v>
      </c>
      <c r="G28" s="21">
        <v>7.1458959233350161E-2</v>
      </c>
    </row>
    <row r="29" spans="1:7" x14ac:dyDescent="0.25">
      <c r="A29" s="6" t="s">
        <v>19</v>
      </c>
      <c r="B29" s="22">
        <v>0</v>
      </c>
      <c r="C29" s="18">
        <f t="shared" si="0"/>
        <v>34.463722721541195</v>
      </c>
      <c r="D29" s="18">
        <f t="shared" si="2"/>
        <v>34.463722721541195</v>
      </c>
      <c r="E29" s="19">
        <f t="shared" si="1"/>
        <v>3.6183417030328298E-4</v>
      </c>
      <c r="F29" s="20">
        <v>55</v>
      </c>
      <c r="G29" s="21">
        <v>7.2366834060656575E-4</v>
      </c>
    </row>
    <row r="30" spans="1:7" x14ac:dyDescent="0.25">
      <c r="A30" s="6" t="s">
        <v>7</v>
      </c>
      <c r="B30" s="22">
        <v>4329.4220931818172</v>
      </c>
      <c r="C30" s="18">
        <f t="shared" si="0"/>
        <v>70.1806717238657</v>
      </c>
      <c r="D30" s="18">
        <f t="shared" si="2"/>
        <v>4399.6027649056832</v>
      </c>
      <c r="E30" s="19">
        <f t="shared" si="1"/>
        <v>4.6191371401344876E-2</v>
      </c>
      <c r="F30" s="20">
        <v>112</v>
      </c>
      <c r="G30" s="21">
        <v>1.4736518935988248E-3</v>
      </c>
    </row>
    <row r="31" spans="1:7" x14ac:dyDescent="0.25">
      <c r="A31" s="6" t="s">
        <v>8</v>
      </c>
      <c r="B31" s="22">
        <v>4329.4220931818172</v>
      </c>
      <c r="C31" s="18">
        <f t="shared" si="0"/>
        <v>6855.7743690251309</v>
      </c>
      <c r="D31" s="18">
        <f t="shared" si="2"/>
        <v>11185.196462206948</v>
      </c>
      <c r="E31" s="19">
        <f t="shared" si="1"/>
        <v>0.11743323013251307</v>
      </c>
      <c r="F31" s="20">
        <v>10941</v>
      </c>
      <c r="G31" s="21">
        <v>0.1439573693559352</v>
      </c>
    </row>
    <row r="32" spans="1:7" x14ac:dyDescent="0.25">
      <c r="A32" s="6" t="s">
        <v>9</v>
      </c>
      <c r="B32" s="22">
        <v>0</v>
      </c>
      <c r="C32" s="18">
        <f t="shared" si="0"/>
        <v>124.06940179754828</v>
      </c>
      <c r="D32" s="18">
        <f t="shared" si="2"/>
        <v>124.06940179754828</v>
      </c>
      <c r="E32" s="19">
        <f t="shared" si="1"/>
        <v>1.3026030130918185E-3</v>
      </c>
      <c r="F32" s="20">
        <v>198</v>
      </c>
      <c r="G32" s="21">
        <v>2.6052060261836365E-3</v>
      </c>
    </row>
    <row r="33" spans="1:7" x14ac:dyDescent="0.25">
      <c r="A33" s="6" t="s">
        <v>10</v>
      </c>
      <c r="B33" s="22">
        <v>4329.4220931818172</v>
      </c>
      <c r="C33" s="18">
        <f t="shared" si="0"/>
        <v>370.95497911186152</v>
      </c>
      <c r="D33" s="18">
        <f t="shared" si="2"/>
        <v>4700.3770722936788</v>
      </c>
      <c r="E33" s="19">
        <f t="shared" si="1"/>
        <v>4.9349196887628073E-2</v>
      </c>
      <c r="F33" s="20">
        <v>592</v>
      </c>
      <c r="G33" s="21">
        <v>7.7893028661652165E-3</v>
      </c>
    </row>
    <row r="34" spans="1:7" x14ac:dyDescent="0.25">
      <c r="A34" s="6" t="s">
        <v>11</v>
      </c>
      <c r="B34" s="23">
        <v>432.94220931818171</v>
      </c>
      <c r="C34" s="18">
        <f t="shared" si="0"/>
        <v>640.39862948027451</v>
      </c>
      <c r="D34" s="18">
        <f t="shared" si="2"/>
        <v>1073.3408387984562</v>
      </c>
      <c r="E34" s="19">
        <f t="shared" si="1"/>
        <v>1.1268991309999185E-2</v>
      </c>
      <c r="F34" s="20">
        <v>1022</v>
      </c>
      <c r="G34" s="21">
        <v>1.3447073529089276E-2</v>
      </c>
    </row>
    <row r="35" spans="1:7" x14ac:dyDescent="0.25">
      <c r="A35" s="6" t="s">
        <v>41</v>
      </c>
      <c r="B35" s="22">
        <v>432.94220931818171</v>
      </c>
      <c r="C35" s="18">
        <f t="shared" si="0"/>
        <v>98.378263041490314</v>
      </c>
      <c r="D35" s="18">
        <f t="shared" si="2"/>
        <v>531.32047235967207</v>
      </c>
      <c r="E35" s="19">
        <f t="shared" si="1"/>
        <v>5.5783266315930086E-3</v>
      </c>
      <c r="F35" s="20">
        <v>157</v>
      </c>
      <c r="G35" s="21">
        <v>2.0657441722769241E-3</v>
      </c>
    </row>
    <row r="36" spans="1:7" x14ac:dyDescent="0.25">
      <c r="A36" s="6" t="s">
        <v>39</v>
      </c>
      <c r="B36" s="22">
        <v>432.94220931818171</v>
      </c>
      <c r="C36" s="18">
        <f t="shared" si="0"/>
        <v>83.966160812482173</v>
      </c>
      <c r="D36" s="18">
        <f t="shared" si="2"/>
        <v>516.90837013066391</v>
      </c>
      <c r="E36" s="19">
        <f t="shared" si="1"/>
        <v>5.4270141603752721E-3</v>
      </c>
      <c r="F36" s="20">
        <v>134</v>
      </c>
      <c r="G36" s="21">
        <v>1.7631192298414511E-3</v>
      </c>
    </row>
    <row r="37" spans="1:7" x14ac:dyDescent="0.25">
      <c r="A37" s="6" t="s">
        <v>40</v>
      </c>
      <c r="B37" s="22">
        <v>432.94220931818171</v>
      </c>
      <c r="C37" s="18">
        <f t="shared" si="0"/>
        <v>39.476627844674454</v>
      </c>
      <c r="D37" s="18">
        <f t="shared" si="2"/>
        <v>472.41883716285616</v>
      </c>
      <c r="E37" s="19">
        <f t="shared" si="1"/>
        <v>4.9599191405292151E-3</v>
      </c>
      <c r="F37" s="20">
        <v>63</v>
      </c>
      <c r="G37" s="21">
        <v>8.2892919014933893E-4</v>
      </c>
    </row>
    <row r="38" spans="1:7" ht="16.5" thickBot="1" x14ac:dyDescent="0.3">
      <c r="A38" s="24" t="s">
        <v>17</v>
      </c>
      <c r="B38" s="25">
        <v>0</v>
      </c>
      <c r="C38" s="26">
        <f t="shared" si="0"/>
        <v>46.995985529374352</v>
      </c>
      <c r="D38" s="26">
        <f t="shared" si="2"/>
        <v>46.995985529374352</v>
      </c>
      <c r="E38" s="27">
        <f t="shared" si="1"/>
        <v>4.9341023223174946E-4</v>
      </c>
      <c r="F38" s="28">
        <v>75</v>
      </c>
      <c r="G38" s="21">
        <v>9.8682046446349871E-4</v>
      </c>
    </row>
    <row r="39" spans="1:7" x14ac:dyDescent="0.25">
      <c r="B39" s="16">
        <f>SUM(B13:B38)</f>
        <v>47623.643024999983</v>
      </c>
      <c r="C39" s="16">
        <f t="shared" si="0"/>
        <v>47623.64302499999</v>
      </c>
      <c r="D39" s="16">
        <f>SUM(D13:D38)</f>
        <v>95247.286049999966</v>
      </c>
      <c r="E39" s="19">
        <f>SUM(E13:E38)</f>
        <v>1.0000000000000002</v>
      </c>
      <c r="F39" s="29">
        <f>SUM(F13:F38)</f>
        <v>76001.666666666657</v>
      </c>
      <c r="G39" s="30">
        <f>SUM(G13:G38)</f>
        <v>1</v>
      </c>
    </row>
    <row r="41" spans="1:7" x14ac:dyDescent="0.25">
      <c r="F41" s="29">
        <f>F39-76001</f>
        <v>0.66666666665696539</v>
      </c>
    </row>
    <row r="42" spans="1:7" x14ac:dyDescent="0.25">
      <c r="B42" s="18">
        <f>B39-B12</f>
        <v>0</v>
      </c>
      <c r="G42" s="3" t="s">
        <v>35</v>
      </c>
    </row>
  </sheetData>
  <mergeCells count="2">
    <mergeCell ref="A1:F1"/>
    <mergeCell ref="A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658A9EEE6B7A4D8A1A3B9CB7C48DFA" ma:contentTypeVersion="13" ma:contentTypeDescription="Create a new document." ma:contentTypeScope="" ma:versionID="7cbc234408fa4e4838c8109df41ed2ec">
  <xsd:schema xmlns:xsd="http://www.w3.org/2001/XMLSchema" xmlns:xs="http://www.w3.org/2001/XMLSchema" xmlns:p="http://schemas.microsoft.com/office/2006/metadata/properties" xmlns:ns3="d24298a2-399a-42be-9206-b1f413b9b799" xmlns:ns4="f2d1c187-8b8d-477b-bbc7-0d0cb0fe20c0" targetNamespace="http://schemas.microsoft.com/office/2006/metadata/properties" ma:root="true" ma:fieldsID="18493934a886532c4ba827ffb8be1ccf" ns3:_="" ns4:_="">
    <xsd:import namespace="d24298a2-399a-42be-9206-b1f413b9b799"/>
    <xsd:import namespace="f2d1c187-8b8d-477b-bbc7-0d0cb0fe20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298a2-399a-42be-9206-b1f413b9b7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d1c187-8b8d-477b-bbc7-0d0cb0fe20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24298a2-399a-42be-9206-b1f413b9b799" xsi:nil="true"/>
  </documentManagement>
</p:properties>
</file>

<file path=customXml/itemProps1.xml><?xml version="1.0" encoding="utf-8"?>
<ds:datastoreItem xmlns:ds="http://schemas.openxmlformats.org/officeDocument/2006/customXml" ds:itemID="{0175989B-ABA2-4253-88D2-6A2D0AB5E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298a2-399a-42be-9206-b1f413b9b799"/>
    <ds:schemaRef ds:uri="f2d1c187-8b8d-477b-bbc7-0d0cb0fe2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5D8D4-D1ED-48B7-907E-B5EB713582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779177-F449-4BCC-8EC6-A50B6BCD85AD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f2d1c187-8b8d-477b-bbc7-0d0cb0fe20c0"/>
    <ds:schemaRef ds:uri="d24298a2-399a-42be-9206-b1f413b9b79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</vt:lpstr>
      <vt:lpstr>Conversion Expense 35-65</vt:lpstr>
      <vt:lpstr>Year 2</vt:lpstr>
      <vt:lpstr>Application Support Yr 1 </vt:lpstr>
      <vt:lpstr>Application Support Yr 2</vt:lpstr>
      <vt:lpstr>'Conversion Expense 35-65'!Print_Area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Minteer</dc:creator>
  <cp:lastModifiedBy>Chris Buttice</cp:lastModifiedBy>
  <cp:lastPrinted>2025-02-03T19:54:14Z</cp:lastPrinted>
  <dcterms:created xsi:type="dcterms:W3CDTF">2024-10-16T21:44:53Z</dcterms:created>
  <dcterms:modified xsi:type="dcterms:W3CDTF">2025-02-04T21:44:09Z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0x01010019658A9EEE6B7A4D8A1A3B9CB7C48DFA</vt:lpwstr>
  </property>
</Properties>
</file>